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60" yWindow="1320" windowWidth="20540" windowHeight="13260" activeTab="0"/>
  </bookViews>
  <sheets>
    <sheet name="NSTX_TF_Coils_001205.xls" sheetId="1" r:id="rId1"/>
  </sheets>
  <definedNames>
    <definedName name="coeff">'NSTX_TF_Coils_001205.xls'!$B$47</definedName>
    <definedName name="CSA">'NSTX_TF_Coils_001205.xls'!$AL$21</definedName>
    <definedName name="denscopper">'NSTX_TF_Coils_001205.xls'!$B$45</definedName>
    <definedName name="densglidcop">'NSTX_TF_Coils_001205.xls'!#REF!</definedName>
    <definedName name="efold">'NSTX_TF_Coils_001205.xls'!#REF!</definedName>
    <definedName name="EOFT">'NSTX_TF_Coils_001205.xls'!$AL$26</definedName>
    <definedName name="G0">'NSTX_TF_Coils_001205.xls'!$AL$10</definedName>
    <definedName name="GMAX">'NSTX_TF_Coils_001205.xls'!$AL$12</definedName>
    <definedName name="gzero">'NSTX_TF_Coils_001205.xls'!$B$49</definedName>
    <definedName name="hzero">'NSTX_TF_Coils_001205.xls'!$B$50</definedName>
    <definedName name="I3kG">'NSTX_TF_Coils_001205.xls'!$AL$38</definedName>
    <definedName name="L">'NSTX_TF_Coils_001205.xls'!$AL$15</definedName>
    <definedName name="nturns">'NSTX_TF_Coils_001205.xls'!#REF!</definedName>
    <definedName name="_xlnm.Print_Area" localSheetId="0">'NSTX_TF_Coils_001205.xls'!$AK$1:$AM$41</definedName>
    <definedName name="Rcircuit">'NSTX_TF_Coils_001205.xls'!$AL$16</definedName>
    <definedName name="rescopper">'NSTX_TF_Coils_001205.xls'!$B$44</definedName>
    <definedName name="resglidcop">'NSTX_TF_Coils_001205.xls'!#REF!</definedName>
    <definedName name="Rpsequiv">'NSTX_TF_Coils_001205.xls'!$AL$18</definedName>
    <definedName name="Rtotal">'NSTX_TF_Coils_001205.xls'!$AL$19</definedName>
    <definedName name="Rtotalhot">'NSTX_TF_Coils_001205.xls'!$AL$20</definedName>
    <definedName name="shcopper">'NSTX_TF_Coils_001205.xls'!$B$46</definedName>
    <definedName name="shglidcop">'NSTX_TF_Coils_001205.xls'!#REF!</definedName>
    <definedName name="solver_adj" localSheetId="0" hidden="1">'NSTX_TF_Coils_001205.xls'!$V$18</definedName>
    <definedName name="solver_lin" localSheetId="0" hidden="1">0</definedName>
    <definedName name="solver_num" localSheetId="0" hidden="1">0</definedName>
    <definedName name="solver_opt" localSheetId="0" hidden="1">'NSTX_TF_Coils_001205.xls'!$W$18</definedName>
    <definedName name="solver_typ" localSheetId="0" hidden="1">3</definedName>
    <definedName name="solver_val" localSheetId="0" hidden="1">3.2</definedName>
    <definedName name="t0">'NSTX_TF_Coils_001205.xls'!$AL$9</definedName>
    <definedName name="tinlet">'NSTX_TF_Coils_001205.xls'!$B$48</definedName>
    <definedName name="tmax">'NSTX_TF_Coils_001205.xls'!#REF!</definedName>
    <definedName name="trep">'NSTX_TF_Coils_001205.xls'!$B$51</definedName>
    <definedName name="trepi">'NSTX_TF_Coils_001205.xls'!#REF!</definedName>
    <definedName name="TRIP">'NSTX_TF_Coils_001205.xls'!$AL$26</definedName>
  </definedNames>
  <calcPr fullCalcOnLoad="1"/>
</workbook>
</file>

<file path=xl/sharedStrings.xml><?xml version="1.0" encoding="utf-8"?>
<sst xmlns="http://schemas.openxmlformats.org/spreadsheetml/2006/main" count="327" uniqueCount="180">
  <si>
    <t>Coil</t>
  </si>
  <si>
    <t>Cnd Width</t>
  </si>
  <si>
    <t>Cnd Height</t>
  </si>
  <si>
    <t>Hole Dia</t>
  </si>
  <si>
    <t>Corner Radius</t>
  </si>
  <si>
    <t>Turn-Turn</t>
  </si>
  <si>
    <t>CSA</t>
  </si>
  <si>
    <t>Length</t>
  </si>
  <si>
    <t>R@T0</t>
  </si>
  <si>
    <t>#/Circuit</t>
  </si>
  <si>
    <t>∑R@T0</t>
  </si>
  <si>
    <t>Max Curr</t>
  </si>
  <si>
    <t>Max ESW</t>
  </si>
  <si>
    <t>∑I^2*R</t>
  </si>
  <si>
    <t>Max ∫i^2(t)dt</t>
  </si>
  <si>
    <t>Max ∫j^2(t)dt</t>
  </si>
  <si>
    <t>Tfinal</t>
  </si>
  <si>
    <t>∑Wloss</t>
  </si>
  <si>
    <t>Avg Loss</t>
  </si>
  <si>
    <t>Hole Area</t>
  </si>
  <si>
    <t>Velocity</t>
  </si>
  <si>
    <t>Flow</t>
  </si>
  <si>
    <t>Total Flow</t>
  </si>
  <si>
    <t>Reynolds No</t>
  </si>
  <si>
    <t>Friction</t>
  </si>
  <si>
    <t>∆P</t>
  </si>
  <si>
    <t>Rthermal</t>
  </si>
  <si>
    <t>Cp</t>
  </si>
  <si>
    <t>Net Cp</t>
  </si>
  <si>
    <t>Tau Thermal</t>
  </si>
  <si>
    <t>Vmax</t>
  </si>
  <si>
    <t>Stress Factor</t>
  </si>
  <si>
    <t>Emax</t>
  </si>
  <si>
    <t>Test Case ∆T</t>
  </si>
  <si>
    <t>deg C</t>
  </si>
  <si>
    <t>Bt</t>
  </si>
  <si>
    <t>Iflat</t>
  </si>
  <si>
    <t>Trise</t>
  </si>
  <si>
    <t>J2T Rise</t>
  </si>
  <si>
    <t>Tfall</t>
  </si>
  <si>
    <t>J2T Fall</t>
  </si>
  <si>
    <t>J2T Flat Possible</t>
  </si>
  <si>
    <t>J2T Flat</t>
  </si>
  <si>
    <t>∑J2T</t>
  </si>
  <si>
    <t>∑I2T</t>
  </si>
  <si>
    <t>Tflat</t>
  </si>
  <si>
    <t>∑T</t>
  </si>
  <si>
    <t>Gfinal</t>
  </si>
  <si>
    <t>∆T</t>
  </si>
  <si>
    <t>3.5kG w/o RIS Module</t>
  </si>
  <si>
    <t>3.5kG w/RIS module</t>
  </si>
  <si>
    <t>4.5kG w/o RIS module</t>
  </si>
  <si>
    <t>4.5kG w/RIS Module</t>
  </si>
  <si>
    <t>(in)</t>
  </si>
  <si>
    <t>(in^2)</t>
  </si>
  <si>
    <t>(Ω)</t>
  </si>
  <si>
    <t>kA</t>
  </si>
  <si>
    <t>sec</t>
  </si>
  <si>
    <t>(MW)</t>
  </si>
  <si>
    <t>Amp^2-sec</t>
  </si>
  <si>
    <t>(A/m^2)^2-sec</t>
  </si>
  <si>
    <t>Joule</t>
  </si>
  <si>
    <t>Watt</t>
  </si>
  <si>
    <t>cm</t>
  </si>
  <si>
    <t>cm^2</t>
  </si>
  <si>
    <t>m/sec</t>
  </si>
  <si>
    <t>GPM</t>
  </si>
  <si>
    <t>N-sec/m^2</t>
  </si>
  <si>
    <t>Factor</t>
  </si>
  <si>
    <t>PSI</t>
  </si>
  <si>
    <t>degC/watt</t>
  </si>
  <si>
    <t>Joule/degC</t>
  </si>
  <si>
    <t>Joule/deg C</t>
  </si>
  <si>
    <t>(V)</t>
  </si>
  <si>
    <t>(V/mil)</t>
  </si>
  <si>
    <t>Insulation Shear Stress @ Test Case ∆T</t>
  </si>
  <si>
    <t>psi</t>
  </si>
  <si>
    <t>(kG)</t>
  </si>
  <si>
    <t>(Amp)</t>
  </si>
  <si>
    <t>(sec)</t>
  </si>
  <si>
    <t>((A/m^2)^2-sec)</t>
  </si>
  <si>
    <t>A^2-sec</t>
  </si>
  <si>
    <t>(deg C)</t>
  </si>
  <si>
    <t>Max Flat Top Time (ms)</t>
  </si>
  <si>
    <t>Note 4</t>
  </si>
  <si>
    <t>Note 1</t>
  </si>
  <si>
    <t>Note 2</t>
  </si>
  <si>
    <t>Note 3</t>
  </si>
  <si>
    <t>Allowable Adiabatic ∆T</t>
  </si>
  <si>
    <t>Fault Condition……</t>
  </si>
  <si>
    <t>Inner Leg, Inner Turn</t>
  </si>
  <si>
    <t xml:space="preserve">Peak Differential </t>
  </si>
  <si>
    <t>p.u.</t>
  </si>
  <si>
    <t>∆T Adiabatic (degC)</t>
  </si>
  <si>
    <t>Inner Leg, Outer Turn</t>
  </si>
  <si>
    <t>Actual ∆T</t>
  </si>
  <si>
    <t>∆T Turn-Turn (degC)</t>
  </si>
  <si>
    <t>Flag, Inner Turn</t>
  </si>
  <si>
    <t xml:space="preserve"> </t>
  </si>
  <si>
    <t>Shear at Actual ∆T</t>
  </si>
  <si>
    <t>Shear (psi)</t>
  </si>
  <si>
    <t>Flag, Outer Turn</t>
  </si>
  <si>
    <t>Ultimate Shear Strength</t>
  </si>
  <si>
    <t>Shear (%Ultimate)</t>
  </si>
  <si>
    <t>Connector</t>
  </si>
  <si>
    <t>% Shear Loading</t>
  </si>
  <si>
    <t>No-fault Condition……</t>
  </si>
  <si>
    <t>Outer Leg</t>
  </si>
  <si>
    <t>T0</t>
  </si>
  <si>
    <t>Joint</t>
  </si>
  <si>
    <t>G0</t>
  </si>
  <si>
    <t>Total TF Circuit</t>
  </si>
  <si>
    <t>Max Temp</t>
  </si>
  <si>
    <t>Tmax</t>
  </si>
  <si>
    <t xml:space="preserve">  </t>
  </si>
  <si>
    <t>Gmax</t>
  </si>
  <si>
    <t>Coolant Hole Dia</t>
  </si>
  <si>
    <t>∆Gmax=J2Tmax</t>
  </si>
  <si>
    <t>(cm)</t>
  </si>
  <si>
    <t>(cm^2)</t>
  </si>
  <si>
    <t>I2Tmax</t>
  </si>
  <si>
    <t>L</t>
  </si>
  <si>
    <t>Henry</t>
  </si>
  <si>
    <t>Rcircuit (cold)</t>
  </si>
  <si>
    <t>Ohm</t>
  </si>
  <si>
    <t xml:space="preserve">   </t>
  </si>
  <si>
    <t>Rcircuit (hot)</t>
  </si>
  <si>
    <t>Rpsequiv</t>
  </si>
  <si>
    <t>∑R (cold)</t>
  </si>
  <si>
    <t>∑R (hot)</t>
  </si>
  <si>
    <t>CSA inner leg</t>
  </si>
  <si>
    <t>m^2</t>
  </si>
  <si>
    <t>kG</t>
  </si>
  <si>
    <t>Amp</t>
  </si>
  <si>
    <t>Note 1: Total Terminal to Terminal Voltage</t>
  </si>
  <si>
    <t>J2T L/R decay</t>
  </si>
  <si>
    <t>Note 2: Ratio Vturn-turn to Vterm-term</t>
  </si>
  <si>
    <t>I2T L/R decay</t>
  </si>
  <si>
    <t>Note 3: Extra 0.040 in layer between input and output terminals</t>
  </si>
  <si>
    <t>J2T Trip (RIS)</t>
  </si>
  <si>
    <t>Note 4: Hole dia given for flags results in same csa as four bolt holes</t>
  </si>
  <si>
    <t>I2T Trip (RIS)</t>
  </si>
  <si>
    <t>OUTER LEG LENGTH CALC</t>
  </si>
  <si>
    <t>Parameter</t>
  </si>
  <si>
    <t>Value</t>
  </si>
  <si>
    <t>Units</t>
  </si>
  <si>
    <t>I2T Rise</t>
  </si>
  <si>
    <t>Conductor Height</t>
  </si>
  <si>
    <t>in</t>
  </si>
  <si>
    <t>Angle 1</t>
  </si>
  <si>
    <t>degrees</t>
  </si>
  <si>
    <t>Variable Trip RIS Feature</t>
  </si>
  <si>
    <t>R1 to Conductor</t>
  </si>
  <si>
    <t>R1 to Conductor CL</t>
  </si>
  <si>
    <t>I2T Fall</t>
  </si>
  <si>
    <t>Length 1</t>
  </si>
  <si>
    <t>Angle 2</t>
  </si>
  <si>
    <t>R2 to Conductor</t>
  </si>
  <si>
    <t>R2 to Conductor CL</t>
  </si>
  <si>
    <t>Length 2</t>
  </si>
  <si>
    <t>∆Tfinal</t>
  </si>
  <si>
    <t>Straight Section</t>
  </si>
  <si>
    <t>Gfinal (fault)</t>
  </si>
  <si>
    <t>Total Length</t>
  </si>
  <si>
    <t>Tfinal (fault)</t>
  </si>
  <si>
    <t>Resistivity (20C)</t>
  </si>
  <si>
    <t>Ω-cm</t>
  </si>
  <si>
    <t>Density</t>
  </si>
  <si>
    <t>gm/cc</t>
  </si>
  <si>
    <t>Specific Heat</t>
  </si>
  <si>
    <t>J/gm-degC</t>
  </si>
  <si>
    <t>Res Temp Coeff</t>
  </si>
  <si>
    <t>1/degC</t>
  </si>
  <si>
    <t>Initial  Temp</t>
  </si>
  <si>
    <t>degC</t>
  </si>
  <si>
    <t>G(zero)</t>
  </si>
  <si>
    <t>H(zero)</t>
  </si>
  <si>
    <t>Joule/m^3</t>
  </si>
  <si>
    <t>Min Rep Period</t>
  </si>
  <si>
    <t>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</si>
</sst>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"/>
    <numFmt numFmtId="166" formatCode="0.0"/>
    <numFmt numFmtId="167" formatCode="0.00000"/>
    <numFmt numFmtId="168" formatCode="0.000"/>
    <numFmt numFmtId="169" formatCode="0.0%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sz val="14"/>
      <name val="Tms Rmn"/>
      <family val="0"/>
    </font>
    <font>
      <i/>
      <sz val="12"/>
      <name val="Tms Rmn"/>
      <family val="0"/>
    </font>
    <font>
      <b/>
      <sz val="12"/>
      <name val="Geneva"/>
      <family val="0"/>
    </font>
    <font>
      <b/>
      <sz val="9"/>
      <name val="Geneva"/>
      <family val="0"/>
    </font>
    <font>
      <sz val="9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65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" fontId="4" fillId="0" borderId="0" xfId="0" applyNumberFormat="1" applyFont="1" applyAlignment="1" applyProtection="1">
      <alignment/>
      <protection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/>
      <protection/>
    </xf>
    <xf numFmtId="166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1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centerContinuous"/>
    </xf>
    <xf numFmtId="11" fontId="4" fillId="0" borderId="0" xfId="0" applyNumberFormat="1" applyFont="1" applyAlignment="1">
      <alignment horizontal="center" vertical="center"/>
    </xf>
    <xf numFmtId="168" fontId="4" fillId="0" borderId="0" xfId="0" applyNumberFormat="1" applyFont="1" applyBorder="1" applyAlignment="1" applyProtection="1">
      <alignment horizontal="right"/>
      <protection/>
    </xf>
    <xf numFmtId="168" fontId="4" fillId="0" borderId="0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64" fontId="4" fillId="0" borderId="0" xfId="0" applyNumberFormat="1" applyFont="1" applyBorder="1" applyAlignment="1" applyProtection="1">
      <alignment horizontal="right"/>
      <protection/>
    </xf>
    <xf numFmtId="168" fontId="4" fillId="0" borderId="0" xfId="0" applyNumberFormat="1" applyFont="1" applyAlignment="1" applyProtection="1">
      <alignment/>
      <protection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 horizontal="right"/>
      <protection/>
    </xf>
    <xf numFmtId="11" fontId="4" fillId="0" borderId="0" xfId="0" applyNumberFormat="1" applyFont="1" applyBorder="1" applyAlignment="1" applyProtection="1">
      <alignment horizontal="right"/>
      <protection/>
    </xf>
    <xf numFmtId="168" fontId="4" fillId="0" borderId="1" xfId="0" applyNumberFormat="1" applyFont="1" applyBorder="1" applyAlignment="1" applyProtection="1">
      <alignment/>
      <protection/>
    </xf>
    <xf numFmtId="168" fontId="4" fillId="0" borderId="1" xfId="0" applyNumberFormat="1" applyFont="1" applyBorder="1" applyAlignment="1">
      <alignment/>
    </xf>
    <xf numFmtId="168" fontId="4" fillId="0" borderId="1" xfId="0" applyNumberFormat="1" applyFont="1" applyBorder="1" applyAlignment="1" applyProtection="1">
      <alignment horizontal="right"/>
      <protection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11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1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166" fontId="6" fillId="0" borderId="1" xfId="0" applyNumberFormat="1" applyFont="1" applyBorder="1" applyAlignment="1">
      <alignment/>
    </xf>
    <xf numFmtId="11" fontId="6" fillId="0" borderId="1" xfId="0" applyNumberFormat="1" applyFont="1" applyBorder="1" applyAlignment="1">
      <alignment/>
    </xf>
    <xf numFmtId="168" fontId="6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9" fontId="7" fillId="0" borderId="1" xfId="0" applyNumberFormat="1" applyFont="1" applyBorder="1" applyAlignment="1">
      <alignment/>
    </xf>
    <xf numFmtId="11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 horizontal="centerContinuous"/>
    </xf>
    <xf numFmtId="168" fontId="7" fillId="0" borderId="1" xfId="0" applyNumberFormat="1" applyFont="1" applyBorder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6" fillId="0" borderId="1" xfId="0" applyNumberFormat="1" applyFont="1" applyBorder="1" applyAlignment="1">
      <alignment/>
    </xf>
    <xf numFmtId="168" fontId="7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9" fontId="6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/>
    </xf>
    <xf numFmtId="1" fontId="6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Bt vs. Tflat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125"/>
          <c:w val="0.922"/>
          <c:h val="0.77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'NSTX_TF_Coils_001205.xls'!$AO$10:$AO$15</c:f>
              <c:numCache/>
            </c:numRef>
          </c:xVal>
          <c:yVal>
            <c:numRef>
              <c:f>'NSTX_TF_Coils_001205.xls'!$AP$10:$AP$15</c:f>
              <c:numCache/>
            </c:numRef>
          </c:yVal>
          <c:smooth val="0"/>
        </c:ser>
        <c:axId val="53214380"/>
        <c:axId val="9167373"/>
      </c:scatterChart>
      <c:valAx>
        <c:axId val="53214380"/>
        <c:scaling>
          <c:orientation val="minMax"/>
          <c:max val="3.5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Bt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67373"/>
        <c:crosses val="autoZero"/>
        <c:crossBetween val="midCat"/>
        <c:dispUnits/>
      </c:valAx>
      <c:valAx>
        <c:axId val="9167373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Tflat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143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47625</xdr:colOff>
      <xdr:row>10</xdr:row>
      <xdr:rowOff>28575</xdr:rowOff>
    </xdr:from>
    <xdr:to>
      <xdr:col>47</xdr:col>
      <xdr:colOff>209550</xdr:colOff>
      <xdr:row>30</xdr:row>
      <xdr:rowOff>76200</xdr:rowOff>
    </xdr:to>
    <xdr:graphicFrame>
      <xdr:nvGraphicFramePr>
        <xdr:cNvPr id="1" name="Chart 6"/>
        <xdr:cNvGraphicFramePr/>
      </xdr:nvGraphicFramePr>
      <xdr:xfrm>
        <a:off x="25155525" y="2209800"/>
        <a:ext cx="4676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9"/>
  <sheetViews>
    <sheetView tabSelected="1" workbookViewId="0" topLeftCell="AF2">
      <selection activeCell="AQ35" sqref="AQ35"/>
    </sheetView>
  </sheetViews>
  <sheetFormatPr defaultColWidth="11.00390625" defaultRowHeight="12.75"/>
  <cols>
    <col min="1" max="1" width="24.25390625" style="1" customWidth="1"/>
    <col min="2" max="2" width="7.125" style="16" customWidth="1"/>
    <col min="3" max="3" width="8.875" style="16" customWidth="1"/>
    <col min="4" max="4" width="11.125" style="16" customWidth="1"/>
    <col min="5" max="5" width="9.125" style="16" customWidth="1"/>
    <col min="6" max="6" width="6.875" style="16" customWidth="1"/>
    <col min="7" max="7" width="5.00390625" style="16" customWidth="1"/>
    <col min="8" max="8" width="5.75390625" style="16" customWidth="1"/>
    <col min="9" max="9" width="7.00390625" style="16" customWidth="1"/>
    <col min="10" max="10" width="6.125" style="16" customWidth="1"/>
    <col min="11" max="11" width="7.00390625" style="16" customWidth="1"/>
    <col min="12" max="12" width="6.625" style="16" customWidth="1"/>
    <col min="13" max="13" width="7.00390625" style="14" customWidth="1"/>
    <col min="14" max="14" width="5.25390625" style="14" customWidth="1"/>
    <col min="15" max="15" width="8.25390625" style="16" customWidth="1"/>
    <col min="16" max="16" width="8.875" style="16" customWidth="1"/>
    <col min="17" max="17" width="6.375" style="16" customWidth="1"/>
    <col min="18" max="19" width="6.75390625" style="16" customWidth="1"/>
    <col min="20" max="20" width="6.125" style="16" customWidth="1"/>
    <col min="21" max="21" width="6.75390625" style="16" customWidth="1"/>
    <col min="22" max="22" width="5.875" style="16" customWidth="1"/>
    <col min="23" max="23" width="4.125" style="1" customWidth="1"/>
    <col min="24" max="24" width="7.375" style="14" customWidth="1"/>
    <col min="25" max="25" width="8.375" style="14" customWidth="1"/>
    <col min="26" max="26" width="5.625" style="16" customWidth="1"/>
    <col min="27" max="27" width="3.625" style="1" customWidth="1"/>
    <col min="28" max="28" width="6.75390625" style="1" customWidth="1"/>
    <col min="29" max="29" width="7.25390625" style="1" customWidth="1"/>
    <col min="30" max="30" width="7.75390625" style="1" customWidth="1"/>
    <col min="31" max="31" width="8.25390625" style="1" customWidth="1"/>
    <col min="32" max="32" width="5.00390625" style="1" customWidth="1"/>
    <col min="33" max="33" width="8.375" style="1" customWidth="1"/>
    <col min="34" max="34" width="5.25390625" style="1" customWidth="1"/>
    <col min="35" max="35" width="8.25390625" style="1" customWidth="1"/>
    <col min="36" max="36" width="10.875" style="1" customWidth="1"/>
    <col min="37" max="37" width="32.625" style="50" customWidth="1"/>
    <col min="38" max="38" width="9.375" style="50" customWidth="1"/>
    <col min="39" max="39" width="12.875" style="50" customWidth="1"/>
    <col min="40" max="40" width="4.875" style="1" customWidth="1"/>
    <col min="41" max="41" width="4.875" style="17" customWidth="1"/>
    <col min="42" max="42" width="7.875" style="1" customWidth="1"/>
    <col min="43" max="43" width="4.875" style="1" customWidth="1"/>
    <col min="44" max="44" width="12.25390625" style="1" customWidth="1"/>
    <col min="45" max="45" width="4.875" style="1" customWidth="1"/>
    <col min="46" max="49" width="12.25390625" style="1" customWidth="1"/>
    <col min="50" max="50" width="7.875" style="1" customWidth="1"/>
    <col min="51" max="51" width="4.875" style="25" customWidth="1"/>
    <col min="52" max="52" width="6.75390625" style="1" customWidth="1"/>
    <col min="53" max="53" width="12.25390625" style="48" customWidth="1"/>
    <col min="54" max="54" width="8.25390625" style="51" customWidth="1"/>
    <col min="55" max="55" width="6.125" style="51" customWidth="1"/>
    <col min="56" max="56" width="10.75390625" style="1" customWidth="1"/>
    <col min="57" max="57" width="17.75390625" style="1" customWidth="1"/>
    <col min="58" max="58" width="9.375" style="67" customWidth="1"/>
    <col min="59" max="59" width="7.375" style="67" customWidth="1"/>
    <col min="60" max="60" width="9.125" style="67" customWidth="1"/>
    <col min="61" max="61" width="7.375" style="67" customWidth="1"/>
    <col min="62" max="63" width="5.00390625" style="1" customWidth="1"/>
    <col min="64" max="64" width="5.00390625" style="16" customWidth="1"/>
    <col min="65" max="65" width="4.625" style="1" customWidth="1"/>
    <col min="66" max="66" width="3.375" style="1" customWidth="1"/>
    <col min="67" max="67" width="9.875" style="1" customWidth="1"/>
    <col min="68" max="68" width="6.00390625" style="1" customWidth="1"/>
    <col min="69" max="69" width="8.375" style="1" customWidth="1"/>
    <col min="70" max="70" width="10.125" style="1" customWidth="1"/>
    <col min="71" max="71" width="10.375" style="1" customWidth="1"/>
    <col min="72" max="72" width="6.00390625" style="1" customWidth="1"/>
    <col min="73" max="73" width="5.75390625" style="1" customWidth="1"/>
    <col min="74" max="80" width="5.00390625" style="1" customWidth="1"/>
    <col min="81" max="81" width="6.00390625" style="1" customWidth="1"/>
    <col min="82" max="82" width="1.37890625" style="1" customWidth="1"/>
    <col min="83" max="16384" width="10.75390625" style="1" customWidth="1"/>
  </cols>
  <sheetData>
    <row r="1" spans="1:61" s="4" customFormat="1" ht="36.75" customHeight="1">
      <c r="A1" s="2" t="s">
        <v>0</v>
      </c>
      <c r="B1" s="2" t="s">
        <v>1</v>
      </c>
      <c r="C1" s="2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19" t="s">
        <v>15</v>
      </c>
      <c r="Q1" s="4" t="s">
        <v>16</v>
      </c>
      <c r="R1" s="4" t="s">
        <v>17</v>
      </c>
      <c r="S1" s="4" t="s">
        <v>18</v>
      </c>
      <c r="T1" s="4" t="s">
        <v>3</v>
      </c>
      <c r="U1" s="4" t="s">
        <v>19</v>
      </c>
      <c r="V1" s="23" t="s">
        <v>20</v>
      </c>
      <c r="W1" s="23" t="s">
        <v>21</v>
      </c>
      <c r="X1" s="4" t="s">
        <v>22</v>
      </c>
      <c r="Y1" s="4" t="s">
        <v>23</v>
      </c>
      <c r="Z1" s="4" t="s">
        <v>24</v>
      </c>
      <c r="AA1" s="23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38" t="s">
        <v>31</v>
      </c>
      <c r="AH1" s="23" t="s">
        <v>32</v>
      </c>
      <c r="AI1" s="1"/>
      <c r="AJ1" s="1"/>
      <c r="AK1" s="57" t="s">
        <v>33</v>
      </c>
      <c r="AL1" s="58">
        <v>20</v>
      </c>
      <c r="AM1" s="57" t="s">
        <v>34</v>
      </c>
      <c r="AN1" s="1"/>
      <c r="AO1" s="54" t="s">
        <v>35</v>
      </c>
      <c r="AP1" s="53" t="s">
        <v>36</v>
      </c>
      <c r="AQ1" s="53" t="s">
        <v>37</v>
      </c>
      <c r="AR1" s="53" t="s">
        <v>38</v>
      </c>
      <c r="AS1" s="53" t="s">
        <v>39</v>
      </c>
      <c r="AT1" s="53" t="s">
        <v>40</v>
      </c>
      <c r="AU1" s="53" t="s">
        <v>41</v>
      </c>
      <c r="AV1" s="53" t="s">
        <v>42</v>
      </c>
      <c r="AW1" s="53" t="s">
        <v>43</v>
      </c>
      <c r="AX1" s="53" t="s">
        <v>44</v>
      </c>
      <c r="AY1" s="56" t="s">
        <v>45</v>
      </c>
      <c r="AZ1" s="53" t="s">
        <v>46</v>
      </c>
      <c r="BA1" s="55" t="s">
        <v>47</v>
      </c>
      <c r="BB1" s="54" t="s">
        <v>16</v>
      </c>
      <c r="BC1" s="54" t="s">
        <v>48</v>
      </c>
      <c r="BD1" s="1"/>
      <c r="BE1" s="53"/>
      <c r="BF1" s="70" t="s">
        <v>49</v>
      </c>
      <c r="BG1" s="70" t="s">
        <v>50</v>
      </c>
      <c r="BH1" s="70" t="s">
        <v>51</v>
      </c>
      <c r="BI1" s="70" t="s">
        <v>52</v>
      </c>
    </row>
    <row r="2" spans="1:61" s="4" customFormat="1" ht="15">
      <c r="A2" s="2"/>
      <c r="B2" s="2" t="s">
        <v>53</v>
      </c>
      <c r="C2" s="2" t="s">
        <v>53</v>
      </c>
      <c r="D2" s="2" t="s">
        <v>53</v>
      </c>
      <c r="E2" s="2" t="s">
        <v>53</v>
      </c>
      <c r="F2" s="2" t="s">
        <v>53</v>
      </c>
      <c r="G2" s="3" t="s">
        <v>54</v>
      </c>
      <c r="H2" s="3" t="s">
        <v>53</v>
      </c>
      <c r="I2" s="3" t="s">
        <v>55</v>
      </c>
      <c r="J2" s="3"/>
      <c r="K2" s="3"/>
      <c r="L2" s="4" t="s">
        <v>56</v>
      </c>
      <c r="M2" s="4" t="s">
        <v>57</v>
      </c>
      <c r="N2" s="4" t="s">
        <v>58</v>
      </c>
      <c r="O2" s="27" t="s">
        <v>59</v>
      </c>
      <c r="P2" s="31" t="s">
        <v>60</v>
      </c>
      <c r="Q2" s="28" t="s">
        <v>34</v>
      </c>
      <c r="R2" s="18" t="s">
        <v>61</v>
      </c>
      <c r="S2" s="18" t="s">
        <v>62</v>
      </c>
      <c r="T2" s="4" t="s">
        <v>63</v>
      </c>
      <c r="U2" s="4" t="s">
        <v>64</v>
      </c>
      <c r="V2" s="17" t="s">
        <v>65</v>
      </c>
      <c r="W2" s="17" t="s">
        <v>66</v>
      </c>
      <c r="X2" s="4" t="s">
        <v>66</v>
      </c>
      <c r="Y2" s="4" t="s">
        <v>67</v>
      </c>
      <c r="Z2" s="4" t="s">
        <v>68</v>
      </c>
      <c r="AA2" s="23" t="s">
        <v>69</v>
      </c>
      <c r="AB2" s="4" t="s">
        <v>70</v>
      </c>
      <c r="AC2" s="4" t="s">
        <v>71</v>
      </c>
      <c r="AD2" s="4" t="s">
        <v>72</v>
      </c>
      <c r="AE2" s="4" t="s">
        <v>57</v>
      </c>
      <c r="AF2" s="4" t="s">
        <v>73</v>
      </c>
      <c r="AG2" s="38"/>
      <c r="AH2" s="23" t="s">
        <v>74</v>
      </c>
      <c r="AI2" s="1"/>
      <c r="AJ2" s="1"/>
      <c r="AK2" s="57" t="s">
        <v>75</v>
      </c>
      <c r="AL2" s="58">
        <v>2070</v>
      </c>
      <c r="AM2" s="57" t="s">
        <v>76</v>
      </c>
      <c r="AN2" s="1"/>
      <c r="AO2" s="54" t="s">
        <v>77</v>
      </c>
      <c r="AP2" s="53" t="s">
        <v>78</v>
      </c>
      <c r="AQ2" s="53" t="s">
        <v>79</v>
      </c>
      <c r="AR2" s="53" t="s">
        <v>80</v>
      </c>
      <c r="AS2" s="53" t="s">
        <v>79</v>
      </c>
      <c r="AT2" s="53" t="s">
        <v>80</v>
      </c>
      <c r="AU2" s="53" t="s">
        <v>80</v>
      </c>
      <c r="AV2" s="53" t="s">
        <v>80</v>
      </c>
      <c r="AW2" s="53" t="s">
        <v>80</v>
      </c>
      <c r="AX2" s="53" t="s">
        <v>81</v>
      </c>
      <c r="AY2" s="56" t="s">
        <v>79</v>
      </c>
      <c r="AZ2" s="53" t="s">
        <v>79</v>
      </c>
      <c r="BA2" s="55" t="s">
        <v>80</v>
      </c>
      <c r="BB2" s="54" t="s">
        <v>82</v>
      </c>
      <c r="BC2" s="54" t="s">
        <v>82</v>
      </c>
      <c r="BD2" s="1"/>
      <c r="BE2" s="53" t="s">
        <v>83</v>
      </c>
      <c r="BF2" s="70">
        <v>595</v>
      </c>
      <c r="BG2" s="70">
        <v>663</v>
      </c>
      <c r="BH2" s="70">
        <v>505</v>
      </c>
      <c r="BI2" s="70">
        <v>497</v>
      </c>
    </row>
    <row r="3" spans="1:61" s="4" customFormat="1" ht="15">
      <c r="A3" s="2"/>
      <c r="B3" s="2"/>
      <c r="C3" s="2"/>
      <c r="D3" s="2" t="s">
        <v>84</v>
      </c>
      <c r="E3" s="2"/>
      <c r="F3" s="2"/>
      <c r="G3" s="3"/>
      <c r="H3" s="3"/>
      <c r="I3" s="3"/>
      <c r="J3" s="3"/>
      <c r="K3" s="3"/>
      <c r="O3" s="27"/>
      <c r="P3" s="31"/>
      <c r="Q3" s="28"/>
      <c r="R3" s="18"/>
      <c r="S3" s="18"/>
      <c r="V3" s="17"/>
      <c r="W3" s="17"/>
      <c r="AA3" s="23"/>
      <c r="AF3" s="4" t="s">
        <v>85</v>
      </c>
      <c r="AG3" s="38" t="s">
        <v>86</v>
      </c>
      <c r="AH3" s="23" t="s">
        <v>87</v>
      </c>
      <c r="AI3" s="1"/>
      <c r="AJ3" s="1"/>
      <c r="AK3" s="57" t="s">
        <v>88</v>
      </c>
      <c r="AL3" s="57">
        <f>20/0.7</f>
        <v>28.571428571428573</v>
      </c>
      <c r="AM3" s="57" t="s">
        <v>34</v>
      </c>
      <c r="AN3" s="1"/>
      <c r="AO3" s="54">
        <v>3</v>
      </c>
      <c r="AP3" s="65">
        <f aca="true" t="shared" si="0" ref="AP3:AP8">35580*AO3/3</f>
        <v>35580</v>
      </c>
      <c r="AQ3" s="56">
        <f aca="true" t="shared" si="1" ref="AQ3:AQ8">-L/Rtotal*LN(1-Rtotal*AP3/1012.85)</f>
        <v>0.19823061071031753</v>
      </c>
      <c r="AR3" s="55">
        <f aca="true" t="shared" si="2" ref="AR3:AR8">1012.85^2/Rtotal^2*(AQ3+2*L/Rtotal*EXP(-AQ3*Rtotal/L)-L/2/Rtotal*EXP(-2*AQ3*Rtotal/L)-2*L/Rtotal+L/2/Rtotal)/CSA^2</f>
        <v>209497102156569.16</v>
      </c>
      <c r="AS3" s="56">
        <f aca="true" t="shared" si="3" ref="AS3:AS8">-L/Rtotalhot*LN(0.66*1012.85/(Rtotalhot*AP3+0.66*1012.85))</f>
        <v>0.17851466604477176</v>
      </c>
      <c r="AT3" s="55">
        <f aca="true" t="shared" si="4" ref="AT3:AT8">(AP3^2*AS3+(-AP3/AS3)^2*AS3^3/3+2*AP3*(-AP3/AS3)*AS3^2/2)/CSA^2</f>
        <v>165724622416295.7</v>
      </c>
      <c r="AU3" s="55">
        <f aca="true" t="shared" si="5" ref="AU3:AU8">(TRIP-AR3-AT3)</f>
        <v>3422039982631489.5</v>
      </c>
      <c r="AV3" s="55">
        <f aca="true" t="shared" si="6" ref="AV3:AV8">AY3*(AP3/CSA)^2</f>
        <v>3128330613021958.5</v>
      </c>
      <c r="AW3" s="55">
        <f aca="true" t="shared" si="7" ref="AW3:AW8">AR3+AT3+AV3</f>
        <v>3503552337594823.5</v>
      </c>
      <c r="AX3" s="55">
        <f aca="true" t="shared" si="8" ref="AX3:AX8">AW3*CSA^2</f>
        <v>1592524439.565535</v>
      </c>
      <c r="AY3" s="56">
        <f aca="true" t="shared" si="9" ref="AY3:AY8">IF((AU3*CSA^2/AP3^2+AQ3+AS3)&lt;1.5,AU3*CSA^2/AP3^2,1.5-AQ3-AS3)</f>
        <v>1.1232547232449106</v>
      </c>
      <c r="AZ3" s="56">
        <f aca="true" t="shared" si="10" ref="AZ3:AZ8">AQ3+AS3+AY3</f>
        <v>1.5</v>
      </c>
      <c r="BA3" s="55">
        <f aca="true" t="shared" si="11" ref="BA3:BA8">G0+AW3</f>
        <v>6037240377594824</v>
      </c>
      <c r="BB3" s="54">
        <f aca="true" t="shared" si="12" ref="BB3:BB8">0.13608+0.0000000000000045496*BA3+5.3309E-32*BA3^2</f>
        <v>29.546129720734505</v>
      </c>
      <c r="BC3" s="54">
        <f aca="true" t="shared" si="13" ref="BC3:BC8">BB3-t0</f>
        <v>17.546129720734505</v>
      </c>
      <c r="BD3" s="1"/>
      <c r="BE3" s="72" t="s">
        <v>89</v>
      </c>
      <c r="BF3" s="70"/>
      <c r="BG3" s="70"/>
      <c r="BH3" s="70"/>
      <c r="BI3" s="70"/>
    </row>
    <row r="4" spans="1:64" ht="15">
      <c r="A4" s="9" t="s">
        <v>90</v>
      </c>
      <c r="B4" s="37"/>
      <c r="C4" s="37"/>
      <c r="D4" s="44">
        <f>5/16-2*0.032</f>
        <v>0.2485</v>
      </c>
      <c r="E4" s="33"/>
      <c r="F4" s="44">
        <v>0.064</v>
      </c>
      <c r="G4" s="39">
        <v>1.054</v>
      </c>
      <c r="H4" s="45">
        <v>223</v>
      </c>
      <c r="I4" s="36">
        <f>rescopper*(1+coeff*(tinlet-20))*H16/G16</f>
        <v>0.0001388941917554423</v>
      </c>
      <c r="J4" s="41">
        <v>12</v>
      </c>
      <c r="K4" s="42">
        <f aca="true" t="shared" si="14" ref="K4:K10">I4*J4</f>
        <v>0.0016667303010653076</v>
      </c>
      <c r="L4" s="46">
        <f aca="true" t="shared" si="15" ref="L4:L11">2*PI()*0.854*0.3/(4*PI()*0.0000001*36)/1000</f>
        <v>35.583333333333336</v>
      </c>
      <c r="M4" s="13">
        <v>5.3</v>
      </c>
      <c r="N4" s="33">
        <f aca="true" t="shared" si="16" ref="N4:N10">(L4*1000)^2*K4/1000000</f>
        <v>2.1103699240481704</v>
      </c>
      <c r="O4" s="10">
        <f aca="true" t="shared" si="17" ref="O4:O9">(L4*1000)^2*M4</f>
        <v>6710720138.88889</v>
      </c>
      <c r="P4" s="26">
        <f aca="true" t="shared" si="18" ref="P4:P9">O4/(G16/100^2)^2</f>
        <v>14512861119917766</v>
      </c>
      <c r="Q4" s="24">
        <f aca="true" t="shared" si="19" ref="Q4:Q9">0.13608+0.0000000000000045496*(gzero+P4)+5.3309E-32*(gzero+P4)^2</f>
        <v>93.1818472008438</v>
      </c>
      <c r="R4" s="26">
        <f aca="true" t="shared" si="20" ref="R4:R10">M4*N4*1000000</f>
        <v>11184960.597455304</v>
      </c>
      <c r="S4" s="26">
        <f aca="true" t="shared" si="21" ref="S4:S10">R4/trep</f>
        <v>37283.20199151768</v>
      </c>
      <c r="T4" s="16">
        <f>2.54*D4</f>
        <v>0.63119</v>
      </c>
      <c r="U4" s="24">
        <f>(PI()*T4^2/4)</f>
        <v>0.3129032692609846</v>
      </c>
      <c r="V4" s="22">
        <v>5</v>
      </c>
      <c r="W4" s="13">
        <f>U4/2.54^2*V4*100/2.54/231*60</f>
        <v>2.4798089649074586</v>
      </c>
      <c r="X4" s="23">
        <f>J4*W4</f>
        <v>29.7577075788895</v>
      </c>
      <c r="Y4" s="17">
        <f>1000*T4/100*V4/0.001</f>
        <v>31559.500000000004</v>
      </c>
      <c r="Z4" s="25">
        <f>IF(Y4&lt;30000,0.316/Y4^0.25,0.184/Y4^0.2)</f>
        <v>0.02317350896285928</v>
      </c>
      <c r="AA4" s="17">
        <f>Z4*(H4*2.54/100)*100/T4*1000*V4^2/2/6895</f>
        <v>37.70040473966072</v>
      </c>
      <c r="AB4" s="26">
        <f>1/264/W4</f>
        <v>0.0015274881418214986</v>
      </c>
      <c r="AC4" s="26">
        <f>G16*H16*denscopper*shcopper</f>
        <v>13291.422008142818</v>
      </c>
      <c r="AD4" s="26">
        <f>AC4+AC9</f>
        <v>103019.03149182077</v>
      </c>
      <c r="AE4" s="13">
        <f>AB4*AD4</f>
        <v>157.36034898569176</v>
      </c>
      <c r="AF4" s="17">
        <v>1012.85</v>
      </c>
      <c r="AG4" s="25">
        <v>1</v>
      </c>
      <c r="AH4" s="17">
        <f>AF4*AG4/(F4*1000)</f>
        <v>15.82578125</v>
      </c>
      <c r="AK4" s="57" t="s">
        <v>91</v>
      </c>
      <c r="AL4" s="58">
        <v>0.7</v>
      </c>
      <c r="AM4" s="57" t="s">
        <v>92</v>
      </c>
      <c r="AO4" s="54">
        <f>AO3+0.1</f>
        <v>3.1</v>
      </c>
      <c r="AP4" s="65">
        <f t="shared" si="0"/>
        <v>36766</v>
      </c>
      <c r="AQ4" s="56">
        <f t="shared" si="1"/>
        <v>0.20708360617103322</v>
      </c>
      <c r="AR4" s="55">
        <f t="shared" si="2"/>
        <v>234987559346191.6</v>
      </c>
      <c r="AS4" s="56">
        <f t="shared" si="3"/>
        <v>0.18315359391529648</v>
      </c>
      <c r="AT4" s="55">
        <f t="shared" si="4"/>
        <v>181555520802408.25</v>
      </c>
      <c r="AU4" s="55">
        <f t="shared" si="5"/>
        <v>3380718627055754</v>
      </c>
      <c r="AV4" s="55">
        <f t="shared" si="6"/>
        <v>3300239304045203.5</v>
      </c>
      <c r="AW4" s="55">
        <f t="shared" si="7"/>
        <v>3716782384193803.5</v>
      </c>
      <c r="AX4" s="55">
        <f t="shared" si="8"/>
        <v>1689447227.5640984</v>
      </c>
      <c r="AY4" s="56">
        <f t="shared" si="9"/>
        <v>1.1097627999136703</v>
      </c>
      <c r="AZ4" s="56">
        <f t="shared" si="10"/>
        <v>1.5</v>
      </c>
      <c r="BA4" s="55">
        <f t="shared" si="11"/>
        <v>6250470424193804</v>
      </c>
      <c r="BB4" s="54">
        <f t="shared" si="12"/>
        <v>30.655916539251198</v>
      </c>
      <c r="BC4" s="54">
        <f t="shared" si="13"/>
        <v>18.655916539251198</v>
      </c>
      <c r="BE4" s="53" t="s">
        <v>93</v>
      </c>
      <c r="BF4" s="70">
        <v>20</v>
      </c>
      <c r="BG4" s="70">
        <v>20</v>
      </c>
      <c r="BH4" s="70">
        <v>33</v>
      </c>
      <c r="BI4" s="70">
        <v>30</v>
      </c>
      <c r="BL4" s="1"/>
    </row>
    <row r="5" spans="1:64" ht="15">
      <c r="A5" s="9" t="s">
        <v>94</v>
      </c>
      <c r="B5" s="37"/>
      <c r="C5" s="37"/>
      <c r="D5" s="44">
        <f>5/16-2*0.032</f>
        <v>0.2485</v>
      </c>
      <c r="E5" s="33"/>
      <c r="F5" s="44">
        <v>0.064</v>
      </c>
      <c r="G5" s="39">
        <v>1.045</v>
      </c>
      <c r="H5" s="45">
        <v>203</v>
      </c>
      <c r="I5" s="36">
        <f>rescopper*(1+coeff*(tinlet-20))*H17/G17</f>
        <v>0.00012752624737218853</v>
      </c>
      <c r="J5" s="41">
        <v>24</v>
      </c>
      <c r="K5" s="42">
        <f t="shared" si="14"/>
        <v>0.0030606299369325247</v>
      </c>
      <c r="L5" s="46">
        <f t="shared" si="15"/>
        <v>35.583333333333336</v>
      </c>
      <c r="M5" s="13">
        <v>5.3</v>
      </c>
      <c r="N5" s="33">
        <f t="shared" si="16"/>
        <v>3.8752888595206283</v>
      </c>
      <c r="O5" s="10">
        <f t="shared" si="17"/>
        <v>6710720138.88889</v>
      </c>
      <c r="P5" s="26">
        <f t="shared" si="18"/>
        <v>14763919895510236</v>
      </c>
      <c r="Q5" s="24">
        <f t="shared" si="19"/>
        <v>94.78371583605039</v>
      </c>
      <c r="R5" s="26">
        <f t="shared" si="20"/>
        <v>20539030.955459327</v>
      </c>
      <c r="S5" s="26">
        <f t="shared" si="21"/>
        <v>68463.43651819775</v>
      </c>
      <c r="T5" s="16">
        <f>2.54*D5</f>
        <v>0.63119</v>
      </c>
      <c r="U5" s="24">
        <f>(PI()*T5^2/4)</f>
        <v>0.3129032692609846</v>
      </c>
      <c r="V5" s="22">
        <v>5</v>
      </c>
      <c r="W5" s="13">
        <f>U5/2.54^2*V5*100/2.54/231*60</f>
        <v>2.4798089649074586</v>
      </c>
      <c r="X5" s="23">
        <f>J5*W5</f>
        <v>59.515415157779</v>
      </c>
      <c r="Y5" s="17">
        <f>1000*T5/100*V5/0.001</f>
        <v>31559.500000000004</v>
      </c>
      <c r="Z5" s="25">
        <f>IF(Y5&lt;30000,0.316/Y5^0.25,0.184/Y5^0.2)</f>
        <v>0.02317350896285928</v>
      </c>
      <c r="AA5" s="17">
        <f>Z5*(H5*2.54/100)*100/T5*1000*V5^2/2/6895</f>
        <v>34.319202520857075</v>
      </c>
      <c r="AB5" s="26">
        <f>1/264/W5</f>
        <v>0.0015274881418214986</v>
      </c>
      <c r="AC5" s="26">
        <f>G17*H17*denscopper*shcopper</f>
        <v>11996.050951308176</v>
      </c>
      <c r="AD5" s="26">
        <f>AC5+AC9</f>
        <v>101723.66043498613</v>
      </c>
      <c r="AE5" s="13">
        <f>AB5*AD5</f>
        <v>155.38168505711806</v>
      </c>
      <c r="AF5" s="17">
        <v>1012.85</v>
      </c>
      <c r="AG5" s="25">
        <v>1</v>
      </c>
      <c r="AH5" s="17">
        <f>AF5*AG5/(F5*1000)</f>
        <v>15.82578125</v>
      </c>
      <c r="AK5" s="57" t="s">
        <v>95</v>
      </c>
      <c r="AL5" s="58">
        <f>AL4*AL3</f>
        <v>20</v>
      </c>
      <c r="AM5" s="57" t="s">
        <v>34</v>
      </c>
      <c r="AO5" s="54">
        <f>AO4+0.1</f>
        <v>3.2</v>
      </c>
      <c r="AP5" s="65">
        <f t="shared" si="0"/>
        <v>37952</v>
      </c>
      <c r="AQ5" s="56">
        <f t="shared" si="1"/>
        <v>0.21615419624095855</v>
      </c>
      <c r="AR5" s="55">
        <f t="shared" si="2"/>
        <v>262845016398686.28</v>
      </c>
      <c r="AS5" s="56">
        <f t="shared" si="3"/>
        <v>0.18773230168319924</v>
      </c>
      <c r="AT5" s="55">
        <f t="shared" si="4"/>
        <v>198294006830808.28</v>
      </c>
      <c r="AU5" s="55">
        <f t="shared" si="5"/>
        <v>3336122683974859</v>
      </c>
      <c r="AV5" s="55">
        <f t="shared" si="6"/>
        <v>3336122683974858.5</v>
      </c>
      <c r="AW5" s="55">
        <f t="shared" si="7"/>
        <v>3797261707204353</v>
      </c>
      <c r="AX5" s="55">
        <f t="shared" si="8"/>
        <v>1726028752.9486954</v>
      </c>
      <c r="AY5" s="56">
        <f t="shared" si="9"/>
        <v>1.0528104205296074</v>
      </c>
      <c r="AZ5" s="56">
        <f t="shared" si="10"/>
        <v>1.456696918453765</v>
      </c>
      <c r="BA5" s="55">
        <f t="shared" si="11"/>
        <v>6330949747204353</v>
      </c>
      <c r="BB5" s="54">
        <f t="shared" si="12"/>
        <v>31.076042984799948</v>
      </c>
      <c r="BC5" s="54">
        <f t="shared" si="13"/>
        <v>19.076042984799948</v>
      </c>
      <c r="BE5" s="53" t="s">
        <v>96</v>
      </c>
      <c r="BF5" s="70">
        <f>0.7*BF4</f>
        <v>14</v>
      </c>
      <c r="BG5" s="70">
        <f>0.7*BG4</f>
        <v>14</v>
      </c>
      <c r="BH5" s="70">
        <f>0.7*BH4</f>
        <v>23.099999999999998</v>
      </c>
      <c r="BI5" s="70">
        <f>0.7*BI4</f>
        <v>21</v>
      </c>
      <c r="BL5" s="1"/>
    </row>
    <row r="6" spans="1:64" ht="15">
      <c r="A6" s="9" t="s">
        <v>97</v>
      </c>
      <c r="B6" s="43">
        <v>1</v>
      </c>
      <c r="C6" s="43">
        <v>5</v>
      </c>
      <c r="D6" s="44">
        <v>0.75</v>
      </c>
      <c r="E6" s="44">
        <v>0.063</v>
      </c>
      <c r="F6" s="25"/>
      <c r="G6" s="40">
        <f>B6*C6-PI()*D6^2/4-((2*E6)^2-PI()*E6^2)</f>
        <v>4.554806514331033</v>
      </c>
      <c r="H6" s="45">
        <f>14.75-2.218</f>
        <v>12.532</v>
      </c>
      <c r="I6" s="36">
        <f>rescopper*H18/G18</f>
        <v>1.8674715658679485E-06</v>
      </c>
      <c r="J6" s="41">
        <v>24</v>
      </c>
      <c r="K6" s="42">
        <f t="shared" si="14"/>
        <v>4.4819317580830766E-05</v>
      </c>
      <c r="L6" s="46">
        <f t="shared" si="15"/>
        <v>35.583333333333336</v>
      </c>
      <c r="M6" s="13">
        <v>5.3</v>
      </c>
      <c r="N6" s="33">
        <f t="shared" si="16"/>
        <v>0.05674903718885622</v>
      </c>
      <c r="O6" s="10">
        <f t="shared" si="17"/>
        <v>6710720138.88889</v>
      </c>
      <c r="P6" s="26">
        <f t="shared" si="18"/>
        <v>777131288820086</v>
      </c>
      <c r="Q6" s="24">
        <f t="shared" si="19"/>
        <v>15.783331534798641</v>
      </c>
      <c r="R6" s="26">
        <f t="shared" si="20"/>
        <v>300769.89710093796</v>
      </c>
      <c r="S6" s="26">
        <f t="shared" si="21"/>
        <v>1002.5663236697932</v>
      </c>
      <c r="U6" s="24"/>
      <c r="V6" s="13"/>
      <c r="W6" s="13"/>
      <c r="X6" s="23" t="s">
        <v>98</v>
      </c>
      <c r="Y6" s="17"/>
      <c r="Z6" s="25"/>
      <c r="AA6" s="17"/>
      <c r="AB6" s="26"/>
      <c r="AC6" s="26" t="s">
        <v>98</v>
      </c>
      <c r="AD6" s="26"/>
      <c r="AE6" s="13" t="s">
        <v>98</v>
      </c>
      <c r="AF6"/>
      <c r="AG6"/>
      <c r="AH6"/>
      <c r="AK6" s="57" t="s">
        <v>99</v>
      </c>
      <c r="AL6" s="58">
        <f>AL5/AL1*AL2</f>
        <v>2070</v>
      </c>
      <c r="AM6" s="57" t="s">
        <v>76</v>
      </c>
      <c r="AO6" s="54">
        <f>AO5+0.1</f>
        <v>3.3000000000000003</v>
      </c>
      <c r="AP6" s="65">
        <f t="shared" si="0"/>
        <v>39138.00000000001</v>
      </c>
      <c r="AQ6" s="56">
        <f t="shared" si="1"/>
        <v>0.2254533473870191</v>
      </c>
      <c r="AR6" s="55">
        <f t="shared" si="2"/>
        <v>293246325329055.2</v>
      </c>
      <c r="AS6" s="56">
        <f t="shared" si="3"/>
        <v>0.192252332824195</v>
      </c>
      <c r="AT6" s="55">
        <f t="shared" si="4"/>
        <v>215958411854635.47</v>
      </c>
      <c r="AU6" s="55">
        <f t="shared" si="5"/>
        <v>3288056970020663.5</v>
      </c>
      <c r="AV6" s="55">
        <f t="shared" si="6"/>
        <v>3288056970020664</v>
      </c>
      <c r="AW6" s="55">
        <f t="shared" si="7"/>
        <v>3797261707204354.5</v>
      </c>
      <c r="AX6" s="55">
        <f t="shared" si="8"/>
        <v>1726028752.948696</v>
      </c>
      <c r="AY6" s="56">
        <f t="shared" si="9"/>
        <v>0.9757073403108535</v>
      </c>
      <c r="AZ6" s="56">
        <f t="shared" si="10"/>
        <v>1.3934130205220676</v>
      </c>
      <c r="BA6" s="55">
        <f t="shared" si="11"/>
        <v>6330949747204354</v>
      </c>
      <c r="BB6" s="54">
        <f t="shared" si="12"/>
        <v>31.076042984799955</v>
      </c>
      <c r="BC6" s="54">
        <f t="shared" si="13"/>
        <v>19.076042984799955</v>
      </c>
      <c r="BE6" s="53" t="s">
        <v>100</v>
      </c>
      <c r="BF6" s="70">
        <f>BF5/20*2070</f>
        <v>1449</v>
      </c>
      <c r="BG6" s="70">
        <f>BG5/20*2070</f>
        <v>1449</v>
      </c>
      <c r="BH6" s="70">
        <f>BH5/20*2070</f>
        <v>2390.8499999999995</v>
      </c>
      <c r="BI6" s="70">
        <f>BI5/20*2070</f>
        <v>2173.5</v>
      </c>
      <c r="BL6" s="1"/>
    </row>
    <row r="7" spans="1:64" ht="15">
      <c r="A7" s="9" t="s">
        <v>101</v>
      </c>
      <c r="B7" s="43">
        <v>1</v>
      </c>
      <c r="C7" s="43">
        <v>5</v>
      </c>
      <c r="D7" s="44">
        <v>0.75</v>
      </c>
      <c r="E7" s="44">
        <v>0.063</v>
      </c>
      <c r="F7" s="25"/>
      <c r="G7" s="40">
        <f>B7*C7-PI()*D7^2/4-((2*E7)^2-PI()*E7^2)</f>
        <v>4.554806514331033</v>
      </c>
      <c r="H7" s="45">
        <f>14.75-3.828</f>
        <v>10.922</v>
      </c>
      <c r="I7" s="36">
        <f>rescopper*H19/G19</f>
        <v>1.6275554135341316E-06</v>
      </c>
      <c r="J7" s="41">
        <v>48</v>
      </c>
      <c r="K7" s="42">
        <f t="shared" si="14"/>
        <v>7.812265984963832E-05</v>
      </c>
      <c r="L7" s="46">
        <f t="shared" si="15"/>
        <v>35.583333333333336</v>
      </c>
      <c r="M7" s="13">
        <v>5.3</v>
      </c>
      <c r="N7" s="33">
        <f t="shared" si="16"/>
        <v>0.09891685033142157</v>
      </c>
      <c r="O7" s="10">
        <f t="shared" si="17"/>
        <v>6710720138.88889</v>
      </c>
      <c r="P7" s="26">
        <f t="shared" si="18"/>
        <v>777131288820086</v>
      </c>
      <c r="Q7" s="24">
        <f t="shared" si="19"/>
        <v>15.783331534798641</v>
      </c>
      <c r="R7" s="26">
        <f t="shared" si="20"/>
        <v>524259.3067565343</v>
      </c>
      <c r="S7" s="26">
        <f t="shared" si="21"/>
        <v>1747.531022521781</v>
      </c>
      <c r="U7" s="24"/>
      <c r="V7" s="13"/>
      <c r="W7" s="13"/>
      <c r="X7" s="23" t="s">
        <v>98</v>
      </c>
      <c r="Y7" s="17"/>
      <c r="Z7" s="25"/>
      <c r="AA7" s="17"/>
      <c r="AB7" s="26"/>
      <c r="AC7" s="26" t="s">
        <v>98</v>
      </c>
      <c r="AD7" s="26"/>
      <c r="AE7" s="13" t="s">
        <v>98</v>
      </c>
      <c r="AF7"/>
      <c r="AG7"/>
      <c r="AH7"/>
      <c r="AK7" s="57" t="s">
        <v>102</v>
      </c>
      <c r="AL7" s="57">
        <v>5883</v>
      </c>
      <c r="AM7" s="57" t="s">
        <v>76</v>
      </c>
      <c r="AO7" s="54">
        <f>AO6+0.1</f>
        <v>3.4000000000000004</v>
      </c>
      <c r="AP7" s="65">
        <f t="shared" si="0"/>
        <v>40324.00000000001</v>
      </c>
      <c r="AQ7" s="56">
        <f t="shared" si="1"/>
        <v>0.23499287659694615</v>
      </c>
      <c r="AR7" s="55">
        <f t="shared" si="2"/>
        <v>326382054175799.94</v>
      </c>
      <c r="AS7" s="56">
        <f t="shared" si="3"/>
        <v>0.19671517222380708</v>
      </c>
      <c r="AT7" s="55">
        <f t="shared" si="4"/>
        <v>234566678639099.84</v>
      </c>
      <c r="AU7" s="55">
        <f t="shared" si="5"/>
        <v>3236312974389454</v>
      </c>
      <c r="AV7" s="55">
        <f t="shared" si="6"/>
        <v>3236312974389453.5</v>
      </c>
      <c r="AW7" s="55">
        <f t="shared" si="7"/>
        <v>3797261707204353</v>
      </c>
      <c r="AX7" s="55">
        <f t="shared" si="8"/>
        <v>1726028752.9486954</v>
      </c>
      <c r="AY7" s="56">
        <f t="shared" si="9"/>
        <v>0.9046921012264683</v>
      </c>
      <c r="AZ7" s="56">
        <f t="shared" si="10"/>
        <v>1.3364001500472216</v>
      </c>
      <c r="BA7" s="55">
        <f t="shared" si="11"/>
        <v>6330949747204353</v>
      </c>
      <c r="BB7" s="54">
        <f t="shared" si="12"/>
        <v>31.076042984799948</v>
      </c>
      <c r="BC7" s="54">
        <f t="shared" si="13"/>
        <v>19.076042984799948</v>
      </c>
      <c r="BE7" s="53" t="s">
        <v>103</v>
      </c>
      <c r="BF7" s="71">
        <f>BF6/5883</f>
        <v>0.24630290668026517</v>
      </c>
      <c r="BG7" s="71">
        <f>BG6/5883</f>
        <v>0.24630290668026517</v>
      </c>
      <c r="BH7" s="71">
        <f>BH6/5883</f>
        <v>0.4063997960224374</v>
      </c>
      <c r="BI7" s="71">
        <f>BI6/5883</f>
        <v>0.3694543600203978</v>
      </c>
      <c r="BL7" s="1"/>
    </row>
    <row r="8" spans="1:64" ht="15">
      <c r="A8" s="9" t="s">
        <v>104</v>
      </c>
      <c r="B8" s="43">
        <v>1</v>
      </c>
      <c r="C8" s="43">
        <v>5</v>
      </c>
      <c r="D8" s="44">
        <v>0</v>
      </c>
      <c r="E8" s="44">
        <v>0.063</v>
      </c>
      <c r="F8" s="25"/>
      <c r="G8" s="40">
        <f>B8*C8-PI()*D8^2/4-((2*E8)^2-PI()*E8^2)</f>
        <v>4.996592981242098</v>
      </c>
      <c r="H8" s="45">
        <v>15</v>
      </c>
      <c r="I8" s="36">
        <f>rescopper*H20/G20</f>
        <v>2.0376089067942883E-06</v>
      </c>
      <c r="J8" s="41">
        <v>72</v>
      </c>
      <c r="K8" s="42">
        <f t="shared" si="14"/>
        <v>0.00014670784128918875</v>
      </c>
      <c r="L8" s="46">
        <f t="shared" si="15"/>
        <v>35.583333333333336</v>
      </c>
      <c r="M8" s="13">
        <v>5.3</v>
      </c>
      <c r="N8" s="33">
        <f t="shared" si="16"/>
        <v>0.18575759718344792</v>
      </c>
      <c r="O8" s="10">
        <f t="shared" si="17"/>
        <v>6710720138.88889</v>
      </c>
      <c r="P8" s="26">
        <f t="shared" si="18"/>
        <v>645782562433282.9</v>
      </c>
      <c r="Q8" s="24">
        <f t="shared" si="19"/>
        <v>15.140301909645876</v>
      </c>
      <c r="R8" s="26">
        <f t="shared" si="20"/>
        <v>984515.2650722739</v>
      </c>
      <c r="S8" s="26">
        <f t="shared" si="21"/>
        <v>3281.717550240913</v>
      </c>
      <c r="U8" s="24"/>
      <c r="V8" s="13"/>
      <c r="W8" s="13"/>
      <c r="X8" s="23" t="s">
        <v>98</v>
      </c>
      <c r="Y8" s="17"/>
      <c r="Z8" s="25"/>
      <c r="AA8" s="17"/>
      <c r="AB8" s="26"/>
      <c r="AC8" s="26" t="s">
        <v>98</v>
      </c>
      <c r="AD8" s="26"/>
      <c r="AE8" s="13" t="s">
        <v>98</v>
      </c>
      <c r="AF8"/>
      <c r="AG8"/>
      <c r="AH8"/>
      <c r="AK8" s="57" t="s">
        <v>105</v>
      </c>
      <c r="AL8" s="59">
        <f>AL6/AL7</f>
        <v>0.3518612952575217</v>
      </c>
      <c r="AM8" s="57"/>
      <c r="AO8" s="54">
        <f>AO7+0.1</f>
        <v>3.5000000000000004</v>
      </c>
      <c r="AP8" s="65">
        <f t="shared" si="0"/>
        <v>41510.00000000001</v>
      </c>
      <c r="AQ8" s="56">
        <f t="shared" si="1"/>
        <v>0.2447855416698662</v>
      </c>
      <c r="AR8" s="55">
        <f t="shared" si="2"/>
        <v>362457943082744.94</v>
      </c>
      <c r="AS8" s="56">
        <f t="shared" si="3"/>
        <v>0.20112224910578996</v>
      </c>
      <c r="AT8" s="55">
        <f t="shared" si="4"/>
        <v>254136376053407.06</v>
      </c>
      <c r="AU8" s="55">
        <f t="shared" si="5"/>
        <v>3180667388068202</v>
      </c>
      <c r="AV8" s="55">
        <f t="shared" si="6"/>
        <v>3180667388068202.5</v>
      </c>
      <c r="AW8" s="55">
        <f t="shared" si="7"/>
        <v>3797261707204354.5</v>
      </c>
      <c r="AX8" s="55">
        <f t="shared" si="8"/>
        <v>1726028752.948696</v>
      </c>
      <c r="AY8" s="56">
        <f t="shared" si="9"/>
        <v>0.8390547215631988</v>
      </c>
      <c r="AZ8" s="56">
        <f t="shared" si="10"/>
        <v>1.284962512338855</v>
      </c>
      <c r="BA8" s="55">
        <f t="shared" si="11"/>
        <v>6330949747204354</v>
      </c>
      <c r="BB8" s="54">
        <f t="shared" si="12"/>
        <v>31.076042984799955</v>
      </c>
      <c r="BC8" s="54">
        <f t="shared" si="13"/>
        <v>19.076042984799955</v>
      </c>
      <c r="BE8" s="72" t="s">
        <v>106</v>
      </c>
      <c r="BF8" s="70"/>
      <c r="BG8" s="70"/>
      <c r="BH8" s="70"/>
      <c r="BI8" s="70"/>
      <c r="BL8" s="1"/>
    </row>
    <row r="9" spans="1:64" ht="15">
      <c r="A9" s="12" t="s">
        <v>107</v>
      </c>
      <c r="B9" s="43">
        <v>2</v>
      </c>
      <c r="C9" s="43">
        <v>3</v>
      </c>
      <c r="D9" s="44">
        <f>0.5-2*0.032</f>
        <v>0.436</v>
      </c>
      <c r="E9" s="44">
        <v>0.125</v>
      </c>
      <c r="F9" s="44">
        <v>0.064</v>
      </c>
      <c r="G9" s="40">
        <f>B9*C9-PI()*D9^2/4-((2*E9)^2-PI()*E9^2)</f>
        <v>5.837286335943139</v>
      </c>
      <c r="H9" s="32">
        <f>B41</f>
        <v>271.82483112400183</v>
      </c>
      <c r="I9" s="36">
        <f>rescopper*(1+coeff*(tinlet-20))*H21/G21</f>
        <v>3.057017763965702E-05</v>
      </c>
      <c r="J9" s="1">
        <v>36</v>
      </c>
      <c r="K9" s="42">
        <f t="shared" si="14"/>
        <v>0.0011005263950276526</v>
      </c>
      <c r="L9" s="46">
        <f t="shared" si="15"/>
        <v>35.583333333333336</v>
      </c>
      <c r="M9" s="13">
        <v>5.3</v>
      </c>
      <c r="N9" s="33">
        <f t="shared" si="16"/>
        <v>1.3934574797152566</v>
      </c>
      <c r="O9" s="10">
        <f t="shared" si="17"/>
        <v>6710720138.88889</v>
      </c>
      <c r="P9" s="26">
        <f t="shared" si="18"/>
        <v>473164623239293.5</v>
      </c>
      <c r="Q9" s="24">
        <f t="shared" si="19"/>
        <v>14.298032231758214</v>
      </c>
      <c r="R9" s="26">
        <f t="shared" si="20"/>
        <v>7385324.642490859</v>
      </c>
      <c r="S9" s="26">
        <f t="shared" si="21"/>
        <v>24617.748808302862</v>
      </c>
      <c r="T9" s="16">
        <f>2.54*D9</f>
        <v>1.10744</v>
      </c>
      <c r="U9" s="24">
        <f>(PI()*T9^2/4)*2.54^2</f>
        <v>6.214378858089551</v>
      </c>
      <c r="V9" s="47">
        <f>W9/60*231*2.54^3/U9/100</f>
        <v>0.25175747762277445</v>
      </c>
      <c r="W9" s="13">
        <f>W4</f>
        <v>2.4798089649074586</v>
      </c>
      <c r="X9" s="23">
        <f>J9*W9</f>
        <v>89.27312273666851</v>
      </c>
      <c r="Y9" s="17">
        <f>1000*T9/100*V9/0.001</f>
        <v>2788.063010185653</v>
      </c>
      <c r="Z9" s="25">
        <f>IF(Y9&lt;30000,0.316/Y9^0.25,0.184/Y9^0.2)</f>
        <v>0.04348719907094816</v>
      </c>
      <c r="AA9" s="17">
        <f>Z9*(H9*2.54/100)*100/T9*1000*V9^2/2/6895</f>
        <v>0.12461334825871162</v>
      </c>
      <c r="AB9" s="26">
        <f>1/264/W9</f>
        <v>0.0015274881418214986</v>
      </c>
      <c r="AC9" s="26">
        <f>G21*H21*denscopper*shcopper</f>
        <v>89727.60948367795</v>
      </c>
      <c r="AD9" s="26"/>
      <c r="AE9" s="13" t="s">
        <v>98</v>
      </c>
      <c r="AF9" s="17">
        <v>1012.85</v>
      </c>
      <c r="AG9" s="25">
        <f>33/36</f>
        <v>0.9166666666666666</v>
      </c>
      <c r="AH9" s="17">
        <f>AF9*AG9/(F9*1000)</f>
        <v>14.506966145833333</v>
      </c>
      <c r="AK9" s="57" t="s">
        <v>108</v>
      </c>
      <c r="AL9" s="57">
        <v>12</v>
      </c>
      <c r="AM9" s="57" t="s">
        <v>34</v>
      </c>
      <c r="AO9" s="64"/>
      <c r="AP9"/>
      <c r="AQ9"/>
      <c r="AR9"/>
      <c r="AS9"/>
      <c r="AT9"/>
      <c r="AU9"/>
      <c r="AV9"/>
      <c r="AW9"/>
      <c r="AX9"/>
      <c r="AY9" s="63"/>
      <c r="BE9" s="53" t="s">
        <v>93</v>
      </c>
      <c r="BF9" s="70">
        <v>14.3</v>
      </c>
      <c r="BG9" s="70">
        <v>14.3</v>
      </c>
      <c r="BH9" s="70">
        <v>23.4</v>
      </c>
      <c r="BI9" s="70">
        <v>23.1</v>
      </c>
      <c r="BL9" s="1"/>
    </row>
    <row r="10" spans="1:64" ht="15">
      <c r="A10" s="12" t="s">
        <v>109</v>
      </c>
      <c r="B10" s="37"/>
      <c r="C10" s="37"/>
      <c r="D10" s="33"/>
      <c r="E10" s="33"/>
      <c r="F10" s="33"/>
      <c r="G10" s="40"/>
      <c r="H10" s="32"/>
      <c r="I10" s="36">
        <v>1E-06</v>
      </c>
      <c r="J10" s="41">
        <f>6*36</f>
        <v>216</v>
      </c>
      <c r="K10" s="42">
        <f t="shared" si="14"/>
        <v>0.000216</v>
      </c>
      <c r="L10" s="46">
        <f t="shared" si="15"/>
        <v>35.583333333333336</v>
      </c>
      <c r="M10" s="13">
        <v>5.3</v>
      </c>
      <c r="N10" s="33">
        <f t="shared" si="16"/>
        <v>0.27349350000000006</v>
      </c>
      <c r="O10" s="10"/>
      <c r="P10" s="26"/>
      <c r="Q10" s="24"/>
      <c r="R10" s="26">
        <f t="shared" si="20"/>
        <v>1449515.5500000003</v>
      </c>
      <c r="S10" s="26">
        <f t="shared" si="21"/>
        <v>4831.718500000001</v>
      </c>
      <c r="U10" s="24"/>
      <c r="V10" s="13"/>
      <c r="W10" s="13"/>
      <c r="X10" s="23" t="s">
        <v>98</v>
      </c>
      <c r="Y10" s="17"/>
      <c r="Z10" s="25"/>
      <c r="AA10" s="17"/>
      <c r="AB10" s="26"/>
      <c r="AC10" s="26"/>
      <c r="AD10" s="26"/>
      <c r="AK10" s="57" t="s">
        <v>110</v>
      </c>
      <c r="AL10" s="60">
        <f>62949000000000+209340000000000*t0-287090000000*t0^2</f>
        <v>2533688040000000</v>
      </c>
      <c r="AM10" s="61" t="s">
        <v>60</v>
      </c>
      <c r="AO10" s="64">
        <f aca="true" t="shared" si="22" ref="AO10:AO15">AO3</f>
        <v>3</v>
      </c>
      <c r="AP10" s="63">
        <f aca="true" t="shared" si="23" ref="AP10:AP15">AY3</f>
        <v>1.1232547232449106</v>
      </c>
      <c r="AQ10"/>
      <c r="AR10"/>
      <c r="AS10"/>
      <c r="AT10"/>
      <c r="AU10"/>
      <c r="AV10"/>
      <c r="AW10"/>
      <c r="AX10"/>
      <c r="AY10" s="63"/>
      <c r="BE10" s="53" t="s">
        <v>96</v>
      </c>
      <c r="BF10" s="70">
        <f>0.7*BF9</f>
        <v>10.01</v>
      </c>
      <c r="BG10" s="70">
        <f>0.7*BG9</f>
        <v>10.01</v>
      </c>
      <c r="BH10" s="70">
        <f>0.7*BH9</f>
        <v>16.38</v>
      </c>
      <c r="BI10" s="70">
        <f>0.7*BI9</f>
        <v>16.17</v>
      </c>
      <c r="BL10" s="1"/>
    </row>
    <row r="11" spans="1:64" ht="15">
      <c r="A11" s="12" t="s">
        <v>111</v>
      </c>
      <c r="B11" s="37"/>
      <c r="C11" s="37"/>
      <c r="D11" s="33"/>
      <c r="E11" s="33"/>
      <c r="F11" s="33"/>
      <c r="G11" s="32"/>
      <c r="H11" s="32"/>
      <c r="I11" s="36"/>
      <c r="J11" s="36"/>
      <c r="K11" s="36">
        <f>SUM(K4:K10)</f>
        <v>0.006313536451745144</v>
      </c>
      <c r="L11" s="46">
        <f t="shared" si="15"/>
        <v>35.583333333333336</v>
      </c>
      <c r="M11" s="13">
        <v>5.3</v>
      </c>
      <c r="N11" s="13">
        <f>SUM(N4:N10)</f>
        <v>7.9940332479877805</v>
      </c>
      <c r="O11" s="10"/>
      <c r="P11" s="26" t="s">
        <v>112</v>
      </c>
      <c r="Q11" s="13">
        <f>MAX(Q4:Q9)</f>
        <v>94.78371583605039</v>
      </c>
      <c r="R11" s="26">
        <f>SUM(R4:R10)</f>
        <v>42368376.21433523</v>
      </c>
      <c r="S11" s="26">
        <f>SUM(S4:S10)</f>
        <v>141227.92071445077</v>
      </c>
      <c r="U11" s="24"/>
      <c r="V11" s="13"/>
      <c r="W11" s="13"/>
      <c r="X11" s="13">
        <f>SUM(X4:X5)</f>
        <v>89.27312273666851</v>
      </c>
      <c r="Y11" s="17"/>
      <c r="Z11" s="25"/>
      <c r="AA11" s="17">
        <f>AA4+AA9</f>
        <v>37.82501808791943</v>
      </c>
      <c r="AB11" s="26"/>
      <c r="AC11" s="26"/>
      <c r="AD11" s="26"/>
      <c r="AK11" s="57" t="s">
        <v>113</v>
      </c>
      <c r="AL11" s="57">
        <f>AL9+AL3</f>
        <v>40.57142857142857</v>
      </c>
      <c r="AM11" s="57" t="s">
        <v>34</v>
      </c>
      <c r="AO11" s="64">
        <f t="shared" si="22"/>
        <v>3.1</v>
      </c>
      <c r="AP11" s="63">
        <f t="shared" si="23"/>
        <v>1.1097627999136703</v>
      </c>
      <c r="AQ11"/>
      <c r="AR11"/>
      <c r="AS11"/>
      <c r="AT11"/>
      <c r="AU11"/>
      <c r="AV11"/>
      <c r="AW11"/>
      <c r="AX11"/>
      <c r="AY11" s="63"/>
      <c r="BE11" s="53" t="s">
        <v>100</v>
      </c>
      <c r="BF11" s="73">
        <f>BF10/20*2070</f>
        <v>1036.0349999999999</v>
      </c>
      <c r="BG11" s="73">
        <f>BG10/20*2070</f>
        <v>1036.0349999999999</v>
      </c>
      <c r="BH11" s="73">
        <f>BH10/20*2070</f>
        <v>1695.33</v>
      </c>
      <c r="BI11" s="73">
        <f>BI10/20*2070</f>
        <v>1673.5950000000003</v>
      </c>
      <c r="BL11" s="1"/>
    </row>
    <row r="12" spans="1:64" ht="15">
      <c r="A12" s="12"/>
      <c r="B12" s="37"/>
      <c r="C12" s="37"/>
      <c r="D12" s="33"/>
      <c r="E12" s="33"/>
      <c r="F12" s="33"/>
      <c r="G12" s="32"/>
      <c r="H12" s="32"/>
      <c r="I12" s="36" t="s">
        <v>114</v>
      </c>
      <c r="J12" s="36"/>
      <c r="K12" s="36"/>
      <c r="L12" s="33"/>
      <c r="M12" s="13"/>
      <c r="N12" s="13"/>
      <c r="O12" s="10"/>
      <c r="P12" s="26"/>
      <c r="Q12" s="13"/>
      <c r="R12" s="26"/>
      <c r="S12" s="26"/>
      <c r="U12" s="24"/>
      <c r="V12" s="13"/>
      <c r="W12" s="13"/>
      <c r="X12" s="1"/>
      <c r="Y12" s="17"/>
      <c r="Z12" s="25"/>
      <c r="AA12" s="17"/>
      <c r="AB12" s="26"/>
      <c r="AC12" s="26"/>
      <c r="AD12" s="26"/>
      <c r="AK12" s="57" t="s">
        <v>115</v>
      </c>
      <c r="AL12" s="60">
        <f>62949000000000+209340000000000*AL11-287090000000*AL11^2</f>
        <v>8083609999183673</v>
      </c>
      <c r="AM12" s="61" t="s">
        <v>60</v>
      </c>
      <c r="AO12" s="64">
        <f t="shared" si="22"/>
        <v>3.2</v>
      </c>
      <c r="AP12" s="63">
        <f t="shared" si="23"/>
        <v>1.0528104205296074</v>
      </c>
      <c r="AQ12"/>
      <c r="AR12"/>
      <c r="AS12"/>
      <c r="AT12"/>
      <c r="AU12"/>
      <c r="AV12"/>
      <c r="AW12"/>
      <c r="AX12"/>
      <c r="AY12" s="63"/>
      <c r="BE12" s="53" t="s">
        <v>103</v>
      </c>
      <c r="BF12" s="71">
        <f>BF11/5883</f>
        <v>0.17610657827638956</v>
      </c>
      <c r="BG12" s="71">
        <f>BG11/5883</f>
        <v>0.17610657827638956</v>
      </c>
      <c r="BH12" s="71">
        <f>BH11/5883</f>
        <v>0.2881744008159102</v>
      </c>
      <c r="BI12" s="71">
        <f>BI11/5883</f>
        <v>0.2844798572157063</v>
      </c>
      <c r="BL12" s="1"/>
    </row>
    <row r="13" spans="1:61" s="4" customFormat="1" ht="15">
      <c r="A13" s="2" t="s">
        <v>0</v>
      </c>
      <c r="B13" s="2" t="s">
        <v>1</v>
      </c>
      <c r="C13" s="2" t="s">
        <v>2</v>
      </c>
      <c r="D13" s="4" t="s">
        <v>116</v>
      </c>
      <c r="E13" s="4" t="s">
        <v>4</v>
      </c>
      <c r="F13" s="4" t="s">
        <v>5</v>
      </c>
      <c r="G13" s="3" t="s">
        <v>6</v>
      </c>
      <c r="H13" s="3" t="s">
        <v>7</v>
      </c>
      <c r="I13" s="1"/>
      <c r="J13" s="1"/>
      <c r="K13" s="15" t="s">
        <v>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7" t="s">
        <v>98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57" t="s">
        <v>117</v>
      </c>
      <c r="AL13" s="60">
        <f>GMAX-G0</f>
        <v>5549921959183673</v>
      </c>
      <c r="AM13" s="61" t="s">
        <v>60</v>
      </c>
      <c r="AN13" s="1"/>
      <c r="AO13" s="64">
        <f t="shared" si="22"/>
        <v>3.3000000000000003</v>
      </c>
      <c r="AP13" s="63">
        <f t="shared" si="23"/>
        <v>0.9757073403108535</v>
      </c>
      <c r="AQ13"/>
      <c r="AR13"/>
      <c r="AS13"/>
      <c r="AT13"/>
      <c r="AU13"/>
      <c r="AV13"/>
      <c r="AW13"/>
      <c r="AX13"/>
      <c r="AY13" s="63"/>
      <c r="AZ13" s="1"/>
      <c r="BA13" s="48"/>
      <c r="BB13" s="51"/>
      <c r="BC13" s="51"/>
      <c r="BD13" s="1"/>
      <c r="BE13" s="1"/>
      <c r="BF13" s="67"/>
      <c r="BG13" s="67"/>
      <c r="BH13" s="67"/>
      <c r="BI13" s="67"/>
    </row>
    <row r="14" spans="1:61" s="4" customFormat="1" ht="15">
      <c r="A14" s="2"/>
      <c r="B14" s="2" t="s">
        <v>118</v>
      </c>
      <c r="C14" s="2" t="s">
        <v>118</v>
      </c>
      <c r="D14" s="2" t="s">
        <v>118</v>
      </c>
      <c r="E14" s="2" t="s">
        <v>118</v>
      </c>
      <c r="F14" s="2" t="s">
        <v>118</v>
      </c>
      <c r="G14" s="3" t="s">
        <v>119</v>
      </c>
      <c r="H14" s="3" t="s">
        <v>118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 t="s">
        <v>98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57" t="s">
        <v>120</v>
      </c>
      <c r="AL14" s="60">
        <f>AL13*CSA^2</f>
        <v>2522692828.8871965</v>
      </c>
      <c r="AM14" s="57" t="s">
        <v>81</v>
      </c>
      <c r="AN14" s="1"/>
      <c r="AO14" s="64">
        <f t="shared" si="22"/>
        <v>3.4000000000000004</v>
      </c>
      <c r="AP14" s="63">
        <f t="shared" si="23"/>
        <v>0.9046921012264683</v>
      </c>
      <c r="AQ14"/>
      <c r="AR14"/>
      <c r="AS14"/>
      <c r="AT14"/>
      <c r="AU14"/>
      <c r="AV14"/>
      <c r="AW14"/>
      <c r="AX14"/>
      <c r="AY14" s="63"/>
      <c r="AZ14" s="1"/>
      <c r="BA14" s="48"/>
      <c r="BB14" s="51"/>
      <c r="BC14" s="51"/>
      <c r="BD14" s="1"/>
      <c r="BE14" s="1"/>
      <c r="BF14" s="67"/>
      <c r="BG14" s="67"/>
      <c r="BH14" s="67"/>
      <c r="BI14" s="67"/>
    </row>
    <row r="15" spans="1:61" s="4" customFormat="1" ht="15">
      <c r="A15" s="2"/>
      <c r="B15" s="2"/>
      <c r="C15" s="2"/>
      <c r="D15" s="2"/>
      <c r="E15" s="2"/>
      <c r="F15" s="2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 t="s">
        <v>98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57" t="s">
        <v>121</v>
      </c>
      <c r="AL15" s="60">
        <v>0.004366</v>
      </c>
      <c r="AM15" s="57" t="s">
        <v>122</v>
      </c>
      <c r="AN15" s="1"/>
      <c r="AO15" s="64">
        <f t="shared" si="22"/>
        <v>3.5000000000000004</v>
      </c>
      <c r="AP15" s="63">
        <f t="shared" si="23"/>
        <v>0.8390547215631988</v>
      </c>
      <c r="AQ15"/>
      <c r="AR15"/>
      <c r="AS15"/>
      <c r="AT15"/>
      <c r="AU15"/>
      <c r="AV15"/>
      <c r="AW15"/>
      <c r="AX15"/>
      <c r="AY15" s="63"/>
      <c r="AZ15" s="1"/>
      <c r="BA15" s="48"/>
      <c r="BB15" s="51"/>
      <c r="BC15" s="51"/>
      <c r="BD15" s="1"/>
      <c r="BE15" s="1"/>
      <c r="BF15" s="67"/>
      <c r="BG15" s="67"/>
      <c r="BH15" s="67"/>
      <c r="BI15" s="67"/>
    </row>
    <row r="16" spans="1:64" ht="15">
      <c r="A16" s="9" t="str">
        <f aca="true" t="shared" si="24" ref="A16:A22">A4</f>
        <v>Inner Leg, Inner Turn</v>
      </c>
      <c r="B16" s="37">
        <f aca="true" t="shared" si="25" ref="B16:F17">2.54*B4</f>
        <v>0</v>
      </c>
      <c r="C16" s="37">
        <f t="shared" si="25"/>
        <v>0</v>
      </c>
      <c r="D16" s="37">
        <f t="shared" si="25"/>
        <v>0.63119</v>
      </c>
      <c r="E16" s="37">
        <f t="shared" si="25"/>
        <v>0</v>
      </c>
      <c r="F16" s="37">
        <f t="shared" si="25"/>
        <v>0.16256</v>
      </c>
      <c r="G16" s="39">
        <f aca="true" t="shared" si="26" ref="G16:G21">G4*2.54^2</f>
        <v>6.7999864</v>
      </c>
      <c r="H16" s="37">
        <f aca="true" t="shared" si="27" ref="H16:H21">2.54*H4</f>
        <v>566.42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X16" s="1"/>
      <c r="Y16" s="1"/>
      <c r="Z16" s="1"/>
      <c r="AK16" s="57" t="s">
        <v>123</v>
      </c>
      <c r="AL16" s="60">
        <f>(0.000576+0.00278)/4+0.00061+0.0001+0.001576+0.00468</f>
        <v>0.007805</v>
      </c>
      <c r="AM16" s="57" t="s">
        <v>124</v>
      </c>
      <c r="AO16" s="64" t="s">
        <v>125</v>
      </c>
      <c r="AP16" s="63" t="s">
        <v>98</v>
      </c>
      <c r="AQ16"/>
      <c r="AR16"/>
      <c r="AS16"/>
      <c r="AT16"/>
      <c r="AU16"/>
      <c r="AV16"/>
      <c r="AW16"/>
      <c r="AX16"/>
      <c r="AY16" s="63"/>
      <c r="BL16" s="1"/>
    </row>
    <row r="17" spans="1:64" ht="15">
      <c r="A17" s="9" t="str">
        <f t="shared" si="24"/>
        <v>Inner Leg, Outer Turn</v>
      </c>
      <c r="B17" s="37">
        <f t="shared" si="25"/>
        <v>0</v>
      </c>
      <c r="C17" s="37">
        <f t="shared" si="25"/>
        <v>0</v>
      </c>
      <c r="D17" s="37">
        <f t="shared" si="25"/>
        <v>0.63119</v>
      </c>
      <c r="E17" s="37">
        <f t="shared" si="25"/>
        <v>0</v>
      </c>
      <c r="F17" s="37">
        <f t="shared" si="25"/>
        <v>0.16256</v>
      </c>
      <c r="G17" s="39">
        <f t="shared" si="26"/>
        <v>6.741922</v>
      </c>
      <c r="H17" s="37">
        <f t="shared" si="27"/>
        <v>515.62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X17" s="1"/>
      <c r="Y17" s="1"/>
      <c r="Z17" s="1"/>
      <c r="AK17" s="57" t="s">
        <v>126</v>
      </c>
      <c r="AL17" s="60">
        <f>(0.000576+0.00278)/4+0.00061+0.0001+0.001576+0.00468*(1+0.0041*AL3)</f>
        <v>0.008353228571428572</v>
      </c>
      <c r="AM17" s="57" t="s">
        <v>124</v>
      </c>
      <c r="AO17" s="64" t="s">
        <v>125</v>
      </c>
      <c r="AP17" s="63" t="s">
        <v>98</v>
      </c>
      <c r="AQ17"/>
      <c r="AR17"/>
      <c r="AS17"/>
      <c r="AT17"/>
      <c r="AU17"/>
      <c r="AV17"/>
      <c r="AW17"/>
      <c r="AX17"/>
      <c r="AY17" s="63"/>
      <c r="BL17" s="1"/>
    </row>
    <row r="18" spans="1:64" ht="15">
      <c r="A18" s="9" t="str">
        <f t="shared" si="24"/>
        <v>Flag, Inner Turn</v>
      </c>
      <c r="B18" s="37">
        <f aca="true" t="shared" si="28" ref="B18:E21">2.54*B6</f>
        <v>2.54</v>
      </c>
      <c r="C18" s="37">
        <f t="shared" si="28"/>
        <v>12.7</v>
      </c>
      <c r="D18" s="37">
        <f t="shared" si="28"/>
        <v>1.905</v>
      </c>
      <c r="E18" s="37">
        <f t="shared" si="28"/>
        <v>0.16002</v>
      </c>
      <c r="F18" s="37"/>
      <c r="G18" s="39">
        <f t="shared" si="26"/>
        <v>29.38578970785809</v>
      </c>
      <c r="H18" s="37">
        <f t="shared" si="27"/>
        <v>31.83128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X18" s="1"/>
      <c r="Y18" s="1"/>
      <c r="Z18" s="1"/>
      <c r="AK18" s="57" t="s">
        <v>127</v>
      </c>
      <c r="AL18" s="60">
        <f>0.0161/4</f>
        <v>0.004025</v>
      </c>
      <c r="AM18" s="57" t="s">
        <v>124</v>
      </c>
      <c r="AO18" s="64" t="s">
        <v>125</v>
      </c>
      <c r="AP18" s="63" t="s">
        <v>98</v>
      </c>
      <c r="AQ18"/>
      <c r="AR18"/>
      <c r="AS18"/>
      <c r="AT18"/>
      <c r="AU18"/>
      <c r="AV18"/>
      <c r="AW18"/>
      <c r="AX18"/>
      <c r="AY18" s="63"/>
      <c r="BL18" s="1"/>
    </row>
    <row r="19" spans="1:64" ht="15">
      <c r="A19" s="9" t="str">
        <f t="shared" si="24"/>
        <v>Flag, Outer Turn</v>
      </c>
      <c r="B19" s="37">
        <f t="shared" si="28"/>
        <v>2.54</v>
      </c>
      <c r="C19" s="37">
        <f t="shared" si="28"/>
        <v>12.7</v>
      </c>
      <c r="D19" s="37">
        <f t="shared" si="28"/>
        <v>1.905</v>
      </c>
      <c r="E19" s="37">
        <f t="shared" si="28"/>
        <v>0.16002</v>
      </c>
      <c r="F19" s="37"/>
      <c r="G19" s="39">
        <f t="shared" si="26"/>
        <v>29.38578970785809</v>
      </c>
      <c r="H19" s="37">
        <f t="shared" si="27"/>
        <v>27.741880000000002</v>
      </c>
      <c r="I19" s="1"/>
      <c r="J19" s="1"/>
      <c r="K1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X19" s="1"/>
      <c r="Y19" s="1"/>
      <c r="Z19" s="1"/>
      <c r="AK19" s="57" t="s">
        <v>128</v>
      </c>
      <c r="AL19" s="60">
        <f>AL16+AL18</f>
        <v>0.01183</v>
      </c>
      <c r="AM19" s="57" t="s">
        <v>124</v>
      </c>
      <c r="AO19" s="64" t="s">
        <v>125</v>
      </c>
      <c r="AP19" s="63" t="s">
        <v>98</v>
      </c>
      <c r="AQ19"/>
      <c r="AR19"/>
      <c r="AS19"/>
      <c r="AT19"/>
      <c r="AU19"/>
      <c r="AV19"/>
      <c r="AW19"/>
      <c r="AX19"/>
      <c r="AY19" s="63"/>
      <c r="BL19" s="1"/>
    </row>
    <row r="20" spans="1:64" ht="15">
      <c r="A20" s="9" t="str">
        <f t="shared" si="24"/>
        <v>Connector</v>
      </c>
      <c r="B20" s="37">
        <f t="shared" si="28"/>
        <v>2.54</v>
      </c>
      <c r="C20" s="37">
        <f t="shared" si="28"/>
        <v>12.7</v>
      </c>
      <c r="D20" s="37">
        <f t="shared" si="28"/>
        <v>0</v>
      </c>
      <c r="E20" s="37">
        <f t="shared" si="28"/>
        <v>0.16002</v>
      </c>
      <c r="F20" s="37"/>
      <c r="G20" s="39">
        <f t="shared" si="26"/>
        <v>32.236019277781516</v>
      </c>
      <c r="H20" s="37">
        <f t="shared" si="27"/>
        <v>38.1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X20" s="1"/>
      <c r="Y20" s="1"/>
      <c r="Z20" s="1"/>
      <c r="AK20" s="57" t="s">
        <v>129</v>
      </c>
      <c r="AL20" s="60">
        <f>AL17+AL18</f>
        <v>0.012378228571428573</v>
      </c>
      <c r="AM20" s="57" t="s">
        <v>124</v>
      </c>
      <c r="AO20" s="64" t="s">
        <v>125</v>
      </c>
      <c r="AP20" s="63" t="s">
        <v>98</v>
      </c>
      <c r="AQ20"/>
      <c r="AR20"/>
      <c r="AS20"/>
      <c r="AT20"/>
      <c r="AU20"/>
      <c r="AV20"/>
      <c r="AW20"/>
      <c r="AX20"/>
      <c r="AY20" s="63"/>
      <c r="BL20" s="1"/>
    </row>
    <row r="21" spans="1:64" ht="15">
      <c r="A21" s="9" t="str">
        <f t="shared" si="24"/>
        <v>Outer Leg</v>
      </c>
      <c r="B21" s="37">
        <f t="shared" si="28"/>
        <v>5.08</v>
      </c>
      <c r="C21" s="37">
        <f t="shared" si="28"/>
        <v>7.62</v>
      </c>
      <c r="D21" s="37">
        <f t="shared" si="28"/>
        <v>1.10744</v>
      </c>
      <c r="E21" s="37">
        <f t="shared" si="28"/>
        <v>0.3175</v>
      </c>
      <c r="F21" s="37">
        <f>2.54*F9</f>
        <v>0.16256</v>
      </c>
      <c r="G21" s="39">
        <f t="shared" si="26"/>
        <v>37.65983652497076</v>
      </c>
      <c r="H21" s="37">
        <f t="shared" si="27"/>
        <v>690.4350710549646</v>
      </c>
      <c r="I21" s="1"/>
      <c r="J21" s="1"/>
      <c r="K21" s="1"/>
      <c r="L21" s="1"/>
      <c r="M21" s="1" t="s">
        <v>98</v>
      </c>
      <c r="N21" s="1"/>
      <c r="O21" s="1"/>
      <c r="P21" s="1"/>
      <c r="Q21" s="1"/>
      <c r="R21" s="1"/>
      <c r="S21" s="1"/>
      <c r="T21" s="1"/>
      <c r="U21" s="1"/>
      <c r="V21" s="1"/>
      <c r="X21" s="1"/>
      <c r="Y21" s="1"/>
      <c r="Z21" s="1"/>
      <c r="AK21" s="57" t="s">
        <v>130</v>
      </c>
      <c r="AL21" s="60">
        <f>6.742/100^2</f>
        <v>0.0006742</v>
      </c>
      <c r="AM21" s="57" t="s">
        <v>131</v>
      </c>
      <c r="AO21" s="64" t="s">
        <v>125</v>
      </c>
      <c r="AP21" s="63" t="s">
        <v>98</v>
      </c>
      <c r="AQ21"/>
      <c r="AR21"/>
      <c r="AS21"/>
      <c r="AT21"/>
      <c r="AU21"/>
      <c r="AV21"/>
      <c r="AW21"/>
      <c r="AX21"/>
      <c r="AY21" s="63"/>
      <c r="BL21" s="1"/>
    </row>
    <row r="22" spans="1:64" ht="15">
      <c r="A22" s="9" t="str">
        <f t="shared" si="24"/>
        <v>Joint</v>
      </c>
      <c r="B22" s="37"/>
      <c r="C22" s="37"/>
      <c r="D22" s="37"/>
      <c r="E22" s="37"/>
      <c r="F22" s="39"/>
      <c r="G22" s="37"/>
      <c r="H22" s="1"/>
      <c r="I22" s="1"/>
      <c r="J22" s="1"/>
      <c r="K22" s="1"/>
      <c r="L22" s="1"/>
      <c r="M22" s="1" t="s">
        <v>98</v>
      </c>
      <c r="N22" s="1"/>
      <c r="O22" s="1"/>
      <c r="P22" s="1" t="s">
        <v>98</v>
      </c>
      <c r="Q22" s="1" t="s">
        <v>98</v>
      </c>
      <c r="R22" s="1"/>
      <c r="S22" s="1"/>
      <c r="T22" s="1"/>
      <c r="U22" s="1"/>
      <c r="V22" s="1"/>
      <c r="X22" s="1"/>
      <c r="Y22" s="1"/>
      <c r="Z22" s="1"/>
      <c r="AK22" s="57" t="s">
        <v>35</v>
      </c>
      <c r="AL22" s="58">
        <v>4.5</v>
      </c>
      <c r="AM22" s="57" t="s">
        <v>132</v>
      </c>
      <c r="AO22" s="64" t="s">
        <v>125</v>
      </c>
      <c r="AP22" s="63" t="s">
        <v>98</v>
      </c>
      <c r="AQ22"/>
      <c r="AR22"/>
      <c r="AS22"/>
      <c r="AT22"/>
      <c r="AU22"/>
      <c r="AV22"/>
      <c r="AW22"/>
      <c r="AX22"/>
      <c r="AY22" s="63"/>
      <c r="BL22" s="1"/>
    </row>
    <row r="23" spans="1:64" ht="15">
      <c r="A23" s="9"/>
      <c r="B23" s="37"/>
      <c r="C23" s="37"/>
      <c r="D23" s="37"/>
      <c r="E23" s="37"/>
      <c r="F23" s="39"/>
      <c r="G23" s="37"/>
      <c r="H23" s="1"/>
      <c r="I23" s="1"/>
      <c r="J23" s="1"/>
      <c r="K23" s="1"/>
      <c r="L23" s="1"/>
      <c r="M23" s="1" t="s">
        <v>98</v>
      </c>
      <c r="N23" s="1"/>
      <c r="O23" s="1"/>
      <c r="P23" s="1" t="s">
        <v>98</v>
      </c>
      <c r="Q23" s="1" t="s">
        <v>98</v>
      </c>
      <c r="R23" s="1" t="s">
        <v>98</v>
      </c>
      <c r="S23" s="1"/>
      <c r="T23" s="1"/>
      <c r="U23" s="1"/>
      <c r="V23" s="1"/>
      <c r="X23" s="1"/>
      <c r="Y23" s="1"/>
      <c r="Z23" s="1"/>
      <c r="AK23" s="57" t="s">
        <v>36</v>
      </c>
      <c r="AL23" s="60">
        <f>AL22/3*35580</f>
        <v>53370</v>
      </c>
      <c r="AM23" s="57" t="s">
        <v>133</v>
      </c>
      <c r="AO23" s="64" t="s">
        <v>125</v>
      </c>
      <c r="AP23" s="63" t="s">
        <v>98</v>
      </c>
      <c r="AQ23"/>
      <c r="AR23"/>
      <c r="AS23"/>
      <c r="AT23"/>
      <c r="AU23"/>
      <c r="AV23"/>
      <c r="AW23"/>
      <c r="AX23"/>
      <c r="AY23" s="63"/>
      <c r="BL23" s="1"/>
    </row>
    <row r="24" spans="1:64" ht="15">
      <c r="A24" s="9" t="s">
        <v>134</v>
      </c>
      <c r="B24" s="37"/>
      <c r="C24" s="37"/>
      <c r="D24" s="37"/>
      <c r="E24" s="37"/>
      <c r="F24" s="39"/>
      <c r="G24" s="3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X24" s="1"/>
      <c r="Y24" s="1"/>
      <c r="Z24" s="1"/>
      <c r="AK24" s="57" t="s">
        <v>135</v>
      </c>
      <c r="AL24" s="60">
        <f>(AL23/CSA)^2*L/Rcircuit/2</f>
        <v>1752660251979319</v>
      </c>
      <c r="AM24" s="57" t="s">
        <v>60</v>
      </c>
      <c r="AO24" s="64" t="s">
        <v>125</v>
      </c>
      <c r="AP24" s="63" t="s">
        <v>98</v>
      </c>
      <c r="AQ24"/>
      <c r="AR24"/>
      <c r="BI24" s="67" t="s">
        <v>98</v>
      </c>
      <c r="BL24" s="1"/>
    </row>
    <row r="25" spans="1:64" ht="15">
      <c r="A25" s="9" t="s">
        <v>136</v>
      </c>
      <c r="B25" s="37"/>
      <c r="C25" s="37"/>
      <c r="D25" s="37"/>
      <c r="E25" s="37"/>
      <c r="F25" s="39"/>
      <c r="G25" s="37"/>
      <c r="H25" s="1"/>
      <c r="I25" s="1"/>
      <c r="J25" s="1"/>
      <c r="K25" s="15" t="s">
        <v>98</v>
      </c>
      <c r="L25" s="1"/>
      <c r="M25" s="1"/>
      <c r="N25" s="1"/>
      <c r="O25" s="1"/>
      <c r="P25" s="1"/>
      <c r="Q25" s="1" t="s">
        <v>98</v>
      </c>
      <c r="R25" s="1"/>
      <c r="S25" s="1"/>
      <c r="T25" s="1"/>
      <c r="U25" s="1"/>
      <c r="V25" s="1"/>
      <c r="X25" s="1"/>
      <c r="Y25" s="1"/>
      <c r="Z25" s="1"/>
      <c r="AK25" s="57" t="s">
        <v>137</v>
      </c>
      <c r="AL25" s="60">
        <f>AL24*CSA^2</f>
        <v>796664075.9385009</v>
      </c>
      <c r="AM25" s="57" t="s">
        <v>81</v>
      </c>
      <c r="AO25" s="64" t="s">
        <v>125</v>
      </c>
      <c r="AP25" s="63" t="s">
        <v>98</v>
      </c>
      <c r="AQ25"/>
      <c r="AR25"/>
      <c r="BL25" s="1"/>
    </row>
    <row r="26" spans="1:44" ht="15">
      <c r="A26" s="1" t="s">
        <v>138</v>
      </c>
      <c r="D26" s="1"/>
      <c r="Z26" s="1"/>
      <c r="AK26" s="57" t="s">
        <v>139</v>
      </c>
      <c r="AL26" s="60">
        <f>AL13-AL24</f>
        <v>3797261707204354</v>
      </c>
      <c r="AM26" s="57" t="s">
        <v>60</v>
      </c>
      <c r="AO26" s="64" t="s">
        <v>125</v>
      </c>
      <c r="AP26" s="63" t="s">
        <v>98</v>
      </c>
      <c r="AQ26"/>
      <c r="AR26"/>
    </row>
    <row r="27" spans="1:44" ht="15">
      <c r="A27" s="1" t="s">
        <v>140</v>
      </c>
      <c r="D27" s="1"/>
      <c r="Z27" s="1"/>
      <c r="AK27" s="57" t="s">
        <v>141</v>
      </c>
      <c r="AL27" s="60">
        <f>EOFT*CSA^2</f>
        <v>1726028752.9486957</v>
      </c>
      <c r="AM27" s="57" t="s">
        <v>81</v>
      </c>
      <c r="AO27" s="64" t="s">
        <v>125</v>
      </c>
      <c r="AP27" s="63" t="s">
        <v>98</v>
      </c>
      <c r="AQ27"/>
      <c r="AR27"/>
    </row>
    <row r="28" spans="4:44" ht="15">
      <c r="D28" s="1"/>
      <c r="Z28" s="1"/>
      <c r="AK28" s="57" t="s">
        <v>37</v>
      </c>
      <c r="AL28" s="62">
        <f>-L/Rtotal*LN(1-Rtotal*AL23/1012.85)</f>
        <v>0.36037303227007417</v>
      </c>
      <c r="AM28" s="57" t="s">
        <v>57</v>
      </c>
      <c r="AO28" s="64" t="s">
        <v>125</v>
      </c>
      <c r="AP28" s="63" t="s">
        <v>98</v>
      </c>
      <c r="AQ28"/>
      <c r="AR28"/>
    </row>
    <row r="29" spans="1:70" ht="15">
      <c r="A29" s="6" t="s">
        <v>142</v>
      </c>
      <c r="B29" s="5" t="s">
        <v>98</v>
      </c>
      <c r="C29" s="5" t="s">
        <v>98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5"/>
      <c r="S29" s="15"/>
      <c r="T29" s="1"/>
      <c r="U29" s="1"/>
      <c r="V29" s="1"/>
      <c r="X29" s="1"/>
      <c r="Y29" s="1"/>
      <c r="Z29" s="1"/>
      <c r="AK29" s="57" t="s">
        <v>38</v>
      </c>
      <c r="AL29" s="60">
        <f>1012.85^2/Rtotal^2*(AL28+2*L/Rtotal*EXP(-AL28*Rtotal/L)-L/2/Rtotal*EXP(-2*AL28*Rtotal/L)-2*L/Rtotal+L/2/Rtotal)/CSA^2</f>
        <v>945212855867944.4</v>
      </c>
      <c r="AM29" s="57" t="s">
        <v>60</v>
      </c>
      <c r="AO29" s="64" t="s">
        <v>125</v>
      </c>
      <c r="AP29" s="63" t="s">
        <v>98</v>
      </c>
      <c r="AQ29"/>
      <c r="AR29"/>
      <c r="BP29" s="15"/>
      <c r="BQ29" s="15"/>
      <c r="BR29" s="15"/>
    </row>
    <row r="30" spans="1:39" ht="15">
      <c r="A30" s="6" t="s">
        <v>143</v>
      </c>
      <c r="B30" s="5" t="s">
        <v>144</v>
      </c>
      <c r="C30" s="5" t="s">
        <v>145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5"/>
      <c r="S30" s="15"/>
      <c r="T30" s="1"/>
      <c r="U30" s="1"/>
      <c r="V30" s="1"/>
      <c r="X30" s="1"/>
      <c r="Y30" s="1"/>
      <c r="Z30" s="1"/>
      <c r="AK30" s="57" t="s">
        <v>146</v>
      </c>
      <c r="AL30" s="60">
        <f>AL29*CSA^2</f>
        <v>429642382.50672257</v>
      </c>
      <c r="AM30" s="57" t="s">
        <v>81</v>
      </c>
    </row>
    <row r="31" spans="1:39" ht="15">
      <c r="A31" s="7" t="s">
        <v>147</v>
      </c>
      <c r="B31" s="44">
        <f>C9</f>
        <v>3</v>
      </c>
      <c r="C31" s="7" t="s">
        <v>148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5"/>
      <c r="S31" s="15"/>
      <c r="T31" s="1"/>
      <c r="U31" s="1"/>
      <c r="V31" s="1"/>
      <c r="X31" s="1"/>
      <c r="Y31" s="1"/>
      <c r="Z31" s="1"/>
      <c r="AK31" s="57" t="s">
        <v>39</v>
      </c>
      <c r="AL31" s="62">
        <f>-L/Rtotalhot*LN(0.66*1012.85/(Rtotalhot*AL23+0.66*1012.85))</f>
        <v>0.24240574718366834</v>
      </c>
      <c r="AM31" s="57" t="s">
        <v>57</v>
      </c>
    </row>
    <row r="32" spans="1:39" ht="15">
      <c r="A32" s="35" t="s">
        <v>149</v>
      </c>
      <c r="B32" s="44">
        <v>39.75</v>
      </c>
      <c r="C32" s="7" t="s">
        <v>150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5"/>
      <c r="S32" s="15"/>
      <c r="T32" s="1"/>
      <c r="U32" s="1"/>
      <c r="V32" s="1"/>
      <c r="X32" s="1"/>
      <c r="Y32" s="1"/>
      <c r="Z32" s="1"/>
      <c r="AK32" s="57" t="s">
        <v>151</v>
      </c>
      <c r="AL32" s="66" t="s">
        <v>179</v>
      </c>
      <c r="AM32" s="57"/>
    </row>
    <row r="33" spans="1:44" ht="15">
      <c r="A33" s="35" t="s">
        <v>152</v>
      </c>
      <c r="B33" s="44">
        <v>49.5</v>
      </c>
      <c r="C33" s="7" t="s">
        <v>148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5"/>
      <c r="S33" s="15"/>
      <c r="T33" s="1"/>
      <c r="U33" s="1"/>
      <c r="V33" s="1"/>
      <c r="X33" s="1"/>
      <c r="Y33" s="1"/>
      <c r="Z33" s="1"/>
      <c r="AK33" s="57" t="s">
        <v>40</v>
      </c>
      <c r="AL33" s="60">
        <f>(AL23^2*AL31+(-AL23/AL31)^2*AL31^3/3+2*AL23*(-AL23/AL31)*AL31^2/2)/CSA^2</f>
        <v>506335720647881.3</v>
      </c>
      <c r="AM33" s="57" t="s">
        <v>60</v>
      </c>
      <c r="AR33" s="1" t="s">
        <v>98</v>
      </c>
    </row>
    <row r="34" spans="1:64" ht="15">
      <c r="A34" s="35" t="s">
        <v>153</v>
      </c>
      <c r="B34" s="44">
        <f>B33+B31/2</f>
        <v>51</v>
      </c>
      <c r="C34" s="7" t="s">
        <v>148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5"/>
      <c r="S34" s="15"/>
      <c r="T34" s="1"/>
      <c r="U34" s="1"/>
      <c r="V34" s="1"/>
      <c r="X34" s="1"/>
      <c r="Y34" s="1"/>
      <c r="Z34" s="1"/>
      <c r="AK34" s="57" t="s">
        <v>154</v>
      </c>
      <c r="AL34" s="60">
        <f>AL33*CSA^2</f>
        <v>230152694.19675243</v>
      </c>
      <c r="AM34" s="57" t="s">
        <v>81</v>
      </c>
      <c r="AP34" s="1" t="s">
        <v>98</v>
      </c>
      <c r="BL34" s="1"/>
    </row>
    <row r="35" spans="1:58" ht="15">
      <c r="A35" s="35" t="s">
        <v>155</v>
      </c>
      <c r="B35" s="44">
        <f>2*PI()*B34*B32/360</f>
        <v>35.382187261055044</v>
      </c>
      <c r="C35" s="7" t="s">
        <v>148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5"/>
      <c r="S35" s="15"/>
      <c r="T35" s="1"/>
      <c r="U35" s="1"/>
      <c r="V35" s="1"/>
      <c r="X35" s="1"/>
      <c r="Y35" s="1"/>
      <c r="Z35" s="1"/>
      <c r="AK35" s="57" t="s">
        <v>42</v>
      </c>
      <c r="AL35" s="60">
        <f>IF(AL32="y",TRIP-AL29,TRIP-AL29-AL33)</f>
        <v>2345713130688528</v>
      </c>
      <c r="AM35" s="57" t="s">
        <v>60</v>
      </c>
      <c r="BF35" s="68"/>
    </row>
    <row r="36" spans="1:39" ht="15">
      <c r="A36" s="35" t="s">
        <v>156</v>
      </c>
      <c r="B36" s="44">
        <v>49.4</v>
      </c>
      <c r="C36" s="7" t="s">
        <v>150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5"/>
      <c r="S36" s="15"/>
      <c r="T36" s="1"/>
      <c r="U36" s="1"/>
      <c r="V36" s="1"/>
      <c r="X36" s="1"/>
      <c r="Y36" s="1"/>
      <c r="Z36" s="1"/>
      <c r="AK36" s="57" t="s">
        <v>45</v>
      </c>
      <c r="AL36" s="62">
        <f>AL35/(AL23/CSA)^2</f>
        <v>0.37433289214747656</v>
      </c>
      <c r="AM36" s="57" t="s">
        <v>57</v>
      </c>
    </row>
    <row r="37" spans="1:39" ht="15">
      <c r="A37" s="35" t="s">
        <v>157</v>
      </c>
      <c r="B37" s="44">
        <v>103.5</v>
      </c>
      <c r="C37" s="7" t="s">
        <v>148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5"/>
      <c r="S37" s="15"/>
      <c r="T37" s="1"/>
      <c r="U37" s="1"/>
      <c r="V37" s="1"/>
      <c r="X37" s="1"/>
      <c r="Y37" s="1"/>
      <c r="Z37" s="1"/>
      <c r="AK37" s="57" t="s">
        <v>47</v>
      </c>
      <c r="AL37" s="60">
        <f>G0+AL29+AL33+AL35</f>
        <v>6330949747204354</v>
      </c>
      <c r="AM37" s="57" t="s">
        <v>60</v>
      </c>
    </row>
    <row r="38" spans="1:39" ht="15">
      <c r="A38" s="35" t="s">
        <v>158</v>
      </c>
      <c r="B38" s="44">
        <f>B37+B31/2</f>
        <v>105</v>
      </c>
      <c r="C38" s="7" t="s">
        <v>148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5"/>
      <c r="S38" s="15"/>
      <c r="T38" s="1"/>
      <c r="U38" s="1"/>
      <c r="V38" s="1"/>
      <c r="X38" s="1"/>
      <c r="Y38" s="1"/>
      <c r="Z38" s="1"/>
      <c r="AK38" s="57" t="s">
        <v>16</v>
      </c>
      <c r="AL38" s="58">
        <f>0.13608+0.0000000000000045496*AL37+5.3309E-32*AL37^2</f>
        <v>31.076042984799955</v>
      </c>
      <c r="AM38" s="57" t="s">
        <v>34</v>
      </c>
    </row>
    <row r="39" spans="1:39" ht="15">
      <c r="A39" s="35" t="s">
        <v>159</v>
      </c>
      <c r="B39" s="44">
        <f>2*PI()*B38*B36/360</f>
        <v>90.53022830094588</v>
      </c>
      <c r="C39" s="7" t="s">
        <v>148</v>
      </c>
      <c r="AK39" s="57" t="s">
        <v>160</v>
      </c>
      <c r="AL39" s="58">
        <f>I3kG-t0</f>
        <v>19.076042984799955</v>
      </c>
      <c r="AM39" s="57" t="s">
        <v>34</v>
      </c>
    </row>
    <row r="40" spans="1:39" ht="15">
      <c r="A40" s="7" t="s">
        <v>161</v>
      </c>
      <c r="B40" s="44">
        <v>10</v>
      </c>
      <c r="C40" s="7" t="s">
        <v>148</v>
      </c>
      <c r="AK40" s="57" t="s">
        <v>162</v>
      </c>
      <c r="AL40" s="60">
        <f>G0+TRIP+AL24</f>
        <v>8083609999183673</v>
      </c>
      <c r="AM40" s="57" t="s">
        <v>60</v>
      </c>
    </row>
    <row r="41" spans="1:39" ht="15">
      <c r="A41" s="7" t="s">
        <v>163</v>
      </c>
      <c r="B41" s="44">
        <f>2*(B35+B39+B40)</f>
        <v>271.82483112400183</v>
      </c>
      <c r="C41" s="8" t="s">
        <v>148</v>
      </c>
      <c r="AK41" s="57" t="s">
        <v>164</v>
      </c>
      <c r="AL41" s="58">
        <f>0.13608+0.0000000000000045496*AL40+5.3309E-32*AL40^2</f>
        <v>40.396735363029094</v>
      </c>
      <c r="AM41" s="57" t="s">
        <v>34</v>
      </c>
    </row>
    <row r="42" spans="1:39" ht="13.5">
      <c r="A42" s="11"/>
      <c r="B42" s="33"/>
      <c r="C42" s="24"/>
      <c r="AK42"/>
      <c r="AL42"/>
      <c r="AM42"/>
    </row>
    <row r="43" spans="1:64" ht="13.5">
      <c r="A43" s="6" t="s">
        <v>143</v>
      </c>
      <c r="B43" s="5" t="s">
        <v>144</v>
      </c>
      <c r="C43" s="5" t="s">
        <v>145</v>
      </c>
      <c r="D43" s="1"/>
      <c r="E43" s="20"/>
      <c r="F43" s="2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X43" s="1"/>
      <c r="Y43" s="16"/>
      <c r="Z43" s="1"/>
      <c r="AK43"/>
      <c r="AL43"/>
      <c r="AM43"/>
      <c r="BK43" s="16"/>
      <c r="BL43" s="1"/>
    </row>
    <row r="44" spans="1:64" ht="13.5">
      <c r="A44" s="7" t="s">
        <v>165</v>
      </c>
      <c r="B44" s="21">
        <f>0.000001724</f>
        <v>1.724E-06</v>
      </c>
      <c r="C44" s="8" t="s">
        <v>166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X44" s="1"/>
      <c r="Y44" s="16"/>
      <c r="Z44" s="1"/>
      <c r="AK44"/>
      <c r="AL44"/>
      <c r="AM44"/>
      <c r="BK44" s="16"/>
      <c r="BL44" s="1"/>
    </row>
    <row r="45" spans="1:64" ht="13.5">
      <c r="A45" s="7" t="s">
        <v>167</v>
      </c>
      <c r="B45" s="8">
        <v>8.94</v>
      </c>
      <c r="C45" s="8" t="s">
        <v>168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X45" s="1"/>
      <c r="Y45" s="16"/>
      <c r="Z45" s="1"/>
      <c r="AK45"/>
      <c r="AL45"/>
      <c r="AM45"/>
      <c r="BK45" s="16"/>
      <c r="BL45" s="1"/>
    </row>
    <row r="46" spans="1:64" ht="13.5">
      <c r="A46" s="7" t="s">
        <v>169</v>
      </c>
      <c r="B46" s="8">
        <v>0.386</v>
      </c>
      <c r="C46" s="8" t="s">
        <v>170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 t="s">
        <v>98</v>
      </c>
      <c r="U46" s="1"/>
      <c r="V46" s="1"/>
      <c r="X46" s="1"/>
      <c r="Y46" s="16"/>
      <c r="Z46" s="1"/>
      <c r="AK46"/>
      <c r="AL46"/>
      <c r="AM46"/>
      <c r="BK46" s="16"/>
      <c r="BL46" s="1"/>
    </row>
    <row r="47" spans="1:64" ht="13.5">
      <c r="A47" s="7" t="s">
        <v>171</v>
      </c>
      <c r="B47" s="8">
        <v>0.0041</v>
      </c>
      <c r="C47" s="8" t="s">
        <v>172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X47" s="1"/>
      <c r="Y47" s="16"/>
      <c r="Z47" s="1"/>
      <c r="AK47"/>
      <c r="AL47"/>
      <c r="AM47"/>
      <c r="BK47" s="16"/>
      <c r="BL47" s="1"/>
    </row>
    <row r="48" spans="1:64" ht="13.5">
      <c r="A48" s="7" t="s">
        <v>173</v>
      </c>
      <c r="B48" s="22">
        <v>12</v>
      </c>
      <c r="C48" s="8" t="s">
        <v>174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X48" s="1"/>
      <c r="Y48" s="16"/>
      <c r="Z48" s="1"/>
      <c r="AK48"/>
      <c r="AL48"/>
      <c r="AM48"/>
      <c r="BK48" s="16"/>
      <c r="BL48" s="1"/>
    </row>
    <row r="49" spans="1:63" s="11" customFormat="1" ht="13.5">
      <c r="A49" s="7" t="s">
        <v>175</v>
      </c>
      <c r="B49" s="29">
        <f>62949000000000+209340000000000*tinlet-287090000000*tinlet^2</f>
        <v>2533688040000000</v>
      </c>
      <c r="C49" s="30" t="s">
        <v>60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4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/>
      <c r="AL49"/>
      <c r="AM49"/>
      <c r="AO49" s="17"/>
      <c r="AP49" s="1"/>
      <c r="AQ49" s="1"/>
      <c r="AR49" s="1"/>
      <c r="AS49" s="1"/>
      <c r="AT49" s="1"/>
      <c r="AU49" s="1"/>
      <c r="AV49" s="1"/>
      <c r="AW49" s="1"/>
      <c r="AX49" s="1"/>
      <c r="AY49" s="25"/>
      <c r="AZ49" s="1"/>
      <c r="BA49" s="48"/>
      <c r="BB49" s="51"/>
      <c r="BC49" s="51"/>
      <c r="BE49" s="1"/>
      <c r="BF49" s="67"/>
      <c r="BG49" s="67"/>
      <c r="BH49" s="67"/>
      <c r="BI49" s="67"/>
      <c r="BK49" s="24"/>
    </row>
    <row r="50" spans="1:63" s="11" customFormat="1" ht="12.75">
      <c r="A50" s="7" t="s">
        <v>176</v>
      </c>
      <c r="B50" s="29">
        <f>-1118300+3486200*tinlet</f>
        <v>40716100</v>
      </c>
      <c r="C50" s="30" t="s">
        <v>177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4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50"/>
      <c r="AL50" s="50"/>
      <c r="AM50" s="50"/>
      <c r="AO50" s="17"/>
      <c r="AP50" s="1"/>
      <c r="AQ50" s="1"/>
      <c r="AR50" s="1"/>
      <c r="AS50" s="1"/>
      <c r="AT50" s="1"/>
      <c r="AU50" s="1"/>
      <c r="AV50" s="1"/>
      <c r="AW50" s="1"/>
      <c r="AX50" s="1"/>
      <c r="AY50" s="25"/>
      <c r="AZ50" s="1"/>
      <c r="BA50" s="48"/>
      <c r="BB50" s="51"/>
      <c r="BC50" s="51"/>
      <c r="BF50" s="69"/>
      <c r="BG50" s="69"/>
      <c r="BH50" s="69"/>
      <c r="BI50" s="69"/>
      <c r="BK50" s="24"/>
    </row>
    <row r="51" spans="1:64" ht="12.75">
      <c r="A51" s="7" t="s">
        <v>178</v>
      </c>
      <c r="B51" s="34">
        <v>300</v>
      </c>
      <c r="C51" s="7" t="s">
        <v>57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X51" s="1"/>
      <c r="Y51" s="1"/>
      <c r="Z51" s="1"/>
      <c r="BE51" s="11"/>
      <c r="BF51" s="69"/>
      <c r="BG51" s="69"/>
      <c r="BH51" s="69"/>
      <c r="BI51" s="69"/>
      <c r="BK51" s="16"/>
      <c r="BL51" s="1"/>
    </row>
    <row r="52" spans="2:70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5"/>
      <c r="S52" s="15"/>
      <c r="T52" s="1"/>
      <c r="U52" s="1"/>
      <c r="V52" s="1"/>
      <c r="X52" s="1"/>
      <c r="Y52" s="1"/>
      <c r="Z52" s="1"/>
      <c r="AK52" s="52"/>
      <c r="BP52" s="15"/>
      <c r="BQ52" s="15"/>
      <c r="BR52" s="15"/>
    </row>
    <row r="60" spans="37:39" ht="12.75">
      <c r="AK60" s="11"/>
      <c r="AL60" s="11"/>
      <c r="AM60" s="11"/>
    </row>
    <row r="61" spans="37:39" ht="12.75">
      <c r="AK61" s="11"/>
      <c r="AL61" s="11"/>
      <c r="AM61" s="11"/>
    </row>
    <row r="69" ht="12.75">
      <c r="AK69" s="49"/>
    </row>
  </sheetData>
  <sheetProtection password="CF37"/>
  <printOptions gridLines="1"/>
  <pageMargins left="0.75" right="0.75" top="1" bottom="1" header="0.5" footer="0.5"/>
  <pageSetup fitToHeight="1" fitToWidth="1" orientation="landscape" scale="76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Charles Neumeyer</cp:lastModifiedBy>
  <cp:lastPrinted>2000-12-13T18:12:41Z</cp:lastPrinted>
  <cp:category/>
  <cp:version/>
  <cp:contentType/>
  <cp:contentStatus/>
</cp:coreProperties>
</file>