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1680" windowWidth="18560" windowHeight="11180" activeTab="0"/>
  </bookViews>
  <sheets>
    <sheet name="FIRE PS Costs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<sst xmlns="http://schemas.openxmlformats.org/spreadsheetml/2006/main" count="56" uniqueCount="46">
  <si>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CATEGORY</t>
  </si>
  <si>
    <t>ITER Rating (MVA)</t>
  </si>
  <si>
    <t>FIRE Rating (MVA)</t>
  </si>
  <si>
    <t>Utility Grid Interface</t>
  </si>
  <si>
    <t>Substation</t>
  </si>
  <si>
    <t>Energy Storage System</t>
  </si>
  <si>
    <t>∑AC Distribution</t>
  </si>
  <si>
    <t>AC/DC Converters</t>
  </si>
  <si>
    <t>Auxiliary Heating</t>
  </si>
  <si>
    <t>Reactive Compensation</t>
  </si>
  <si>
    <t xml:space="preserve"> </t>
  </si>
  <si>
    <t>-Fast Discharge Circuits</t>
  </si>
  <si>
    <t>-Switching Network Units</t>
  </si>
  <si>
    <t>Fast Plasma Position Control PS</t>
  </si>
  <si>
    <t>Instrumentation</t>
  </si>
  <si>
    <t>DC Components &amp; Dummy Loads</t>
  </si>
  <si>
    <t>Auxiliary Power System</t>
  </si>
  <si>
    <t>TF AC/DC Converters</t>
  </si>
  <si>
    <t>∑PF AC/DC Converters</t>
  </si>
  <si>
    <t>PF Switching Networks</t>
  </si>
  <si>
    <t>GRAND TOTAL</t>
  </si>
  <si>
    <t xml:space="preserve">Reactive Power Compensation </t>
  </si>
  <si>
    <t>Field Error Correction PS</t>
  </si>
  <si>
    <t>Exp Power System Engineering</t>
  </si>
  <si>
    <t>Aux Power System Engineering</t>
  </si>
  <si>
    <t>8m*6yr</t>
  </si>
  <si>
    <t>4m*6yr</t>
  </si>
  <si>
    <t>4m*6y</t>
  </si>
  <si>
    <t>- 4Q AC/DC Converter</t>
  </si>
  <si>
    <t>- 2Q AC/DC Converter</t>
  </si>
  <si>
    <t>TF Fast Discharge Units</t>
  </si>
  <si>
    <t>n.a.</t>
  </si>
  <si>
    <t>ITER Cost (M$02)</t>
  </si>
  <si>
    <t>Fire Cost (M$02)</t>
  </si>
  <si>
    <t xml:space="preserve">TOTAL EXP PWR SYS </t>
  </si>
  <si>
    <t>TOTAL AUX POWER SYSTEM</t>
  </si>
  <si>
    <t>ITER Scaling ($K02/MVA)</t>
  </si>
  <si>
    <t>FIRE Scaling ($K02/MVA)</t>
  </si>
  <si>
    <t>TR</t>
  </si>
  <si>
    <t>TW</t>
  </si>
  <si>
    <t>SR</t>
  </si>
  <si>
    <t>SW</t>
  </si>
  <si>
    <t>CR</t>
  </si>
  <si>
    <t>CW</t>
  </si>
  <si>
    <t>Cont</t>
  </si>
  <si>
    <t>C$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</si>
</sst>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"/>
      <family val="0"/>
    </font>
    <font>
      <b/>
      <i/>
      <sz val="12"/>
      <name val="Times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164" fontId="6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164" fontId="6" fillId="0" borderId="7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4" xfId="0" applyFont="1" applyBorder="1" applyAlignment="1" quotePrefix="1">
      <alignment horizontal="left"/>
    </xf>
    <xf numFmtId="0" fontId="6" fillId="0" borderId="2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164" fontId="6" fillId="0" borderId="1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6" fillId="0" borderId="13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O27" sqref="A1:O27"/>
    </sheetView>
  </sheetViews>
  <sheetFormatPr defaultColWidth="11.00390625" defaultRowHeight="12.75"/>
  <cols>
    <col min="1" max="1" width="25.25390625" style="37" bestFit="1" customWidth="1"/>
    <col min="2" max="2" width="6.375" style="38" hidden="1" customWidth="1"/>
    <col min="3" max="3" width="6.375" style="43" bestFit="1" customWidth="1"/>
    <col min="4" max="4" width="6.00390625" style="38" hidden="1" customWidth="1"/>
    <col min="5" max="5" width="6.00390625" style="43" customWidth="1"/>
    <col min="6" max="6" width="5.875" style="38" hidden="1" customWidth="1"/>
    <col min="7" max="7" width="7.25390625" style="43" bestFit="1" customWidth="1"/>
    <col min="8" max="8" width="2.125" style="37" bestFit="1" customWidth="1"/>
    <col min="9" max="9" width="2.75390625" style="37" bestFit="1" customWidth="1"/>
    <col min="10" max="10" width="2.125" style="37" bestFit="1" customWidth="1"/>
    <col min="11" max="11" width="2.75390625" style="37" bestFit="1" customWidth="1"/>
    <col min="12" max="12" width="2.125" style="37" bestFit="1" customWidth="1"/>
    <col min="13" max="13" width="2.75390625" style="37" bestFit="1" customWidth="1"/>
    <col min="14" max="14" width="4.25390625" style="37" bestFit="1" customWidth="1"/>
    <col min="15" max="15" width="4.875" style="37" bestFit="1" customWidth="1"/>
    <col min="16" max="16384" width="12.375" style="37" customWidth="1"/>
  </cols>
  <sheetData>
    <row r="1" spans="1:15" s="36" customFormat="1" ht="51.75" customHeight="1">
      <c r="A1" s="1" t="s">
        <v>0</v>
      </c>
      <c r="B1" s="2" t="s">
        <v>1</v>
      </c>
      <c r="C1" s="2" t="s">
        <v>2</v>
      </c>
      <c r="D1" s="2" t="s">
        <v>36</v>
      </c>
      <c r="E1" s="2" t="s">
        <v>37</v>
      </c>
      <c r="F1" s="2" t="s">
        <v>32</v>
      </c>
      <c r="G1" s="2" t="s">
        <v>33</v>
      </c>
      <c r="H1" s="35" t="s">
        <v>38</v>
      </c>
      <c r="I1" s="35" t="s">
        <v>39</v>
      </c>
      <c r="J1" s="35" t="s">
        <v>40</v>
      </c>
      <c r="K1" s="35" t="s">
        <v>41</v>
      </c>
      <c r="L1" s="35" t="s">
        <v>42</v>
      </c>
      <c r="M1" s="35" t="s">
        <v>43</v>
      </c>
      <c r="N1" s="35" t="s">
        <v>44</v>
      </c>
      <c r="O1" s="35" t="s">
        <v>45</v>
      </c>
    </row>
    <row r="2" spans="1:15" ht="12.75">
      <c r="A2" s="3" t="s">
        <v>3</v>
      </c>
      <c r="B2" s="29">
        <v>900</v>
      </c>
      <c r="C2" s="29">
        <v>600</v>
      </c>
      <c r="D2" s="4">
        <f>1.2*4.646</f>
        <v>5.5752</v>
      </c>
      <c r="E2" s="4">
        <f>1.2*4.646</f>
        <v>5.5752</v>
      </c>
      <c r="F2" s="4">
        <f aca="true" t="shared" si="0" ref="F2:G6">B2*D2/1000</f>
        <v>5.0176799999999995</v>
      </c>
      <c r="G2" s="4">
        <f t="shared" si="0"/>
        <v>3.34512</v>
      </c>
      <c r="H2" s="16">
        <v>1</v>
      </c>
      <c r="I2" s="16">
        <v>2</v>
      </c>
      <c r="J2" s="16">
        <v>8</v>
      </c>
      <c r="K2" s="16">
        <v>1</v>
      </c>
      <c r="L2" s="16">
        <v>1</v>
      </c>
      <c r="M2" s="16">
        <v>2</v>
      </c>
      <c r="N2" s="16">
        <f>H2*I2+J2*K2+L2*M2</f>
        <v>12</v>
      </c>
      <c r="O2" s="4">
        <f>N2/100*G2</f>
        <v>0.4014144</v>
      </c>
    </row>
    <row r="3" spans="1:15" ht="12.75">
      <c r="A3" s="3" t="s">
        <v>4</v>
      </c>
      <c r="B3" s="29">
        <v>900</v>
      </c>
      <c r="C3" s="29">
        <v>600</v>
      </c>
      <c r="D3" s="4">
        <f>1.2*15.129</f>
        <v>18.154799999999998</v>
      </c>
      <c r="E3" s="4">
        <f>1.2*15.129</f>
        <v>18.154799999999998</v>
      </c>
      <c r="F3" s="4">
        <f t="shared" si="0"/>
        <v>16.339319999999997</v>
      </c>
      <c r="G3" s="4">
        <f t="shared" si="0"/>
        <v>10.89288</v>
      </c>
      <c r="H3" s="16">
        <v>1</v>
      </c>
      <c r="I3" s="16">
        <v>2</v>
      </c>
      <c r="J3" s="16">
        <v>8</v>
      </c>
      <c r="K3" s="16">
        <v>1</v>
      </c>
      <c r="L3" s="16">
        <v>1</v>
      </c>
      <c r="M3" s="16">
        <v>2</v>
      </c>
      <c r="N3" s="16">
        <f>H3*I3+J3*K3+L3*M3</f>
        <v>12</v>
      </c>
      <c r="O3" s="4">
        <f>N3/100*G3</f>
        <v>1.3071456</v>
      </c>
    </row>
    <row r="4" spans="1:15" ht="12.75">
      <c r="A4" s="3" t="s">
        <v>5</v>
      </c>
      <c r="B4" s="29">
        <v>0</v>
      </c>
      <c r="C4" s="29">
        <v>0</v>
      </c>
      <c r="D4" s="4"/>
      <c r="E4" s="4"/>
      <c r="F4" s="4">
        <f t="shared" si="0"/>
        <v>0</v>
      </c>
      <c r="G4" s="4">
        <f t="shared" si="0"/>
        <v>0</v>
      </c>
      <c r="H4" s="16">
        <v>2</v>
      </c>
      <c r="I4" s="16">
        <v>2</v>
      </c>
      <c r="J4" s="16">
        <v>8</v>
      </c>
      <c r="K4" s="16">
        <v>1</v>
      </c>
      <c r="L4" s="16">
        <v>4</v>
      </c>
      <c r="M4" s="16">
        <v>2</v>
      </c>
      <c r="N4" s="16">
        <f>H4*I4+J4*K4+L4*M4</f>
        <v>20</v>
      </c>
      <c r="O4" s="4">
        <f>N4/100*G4</f>
        <v>0</v>
      </c>
    </row>
    <row r="5" spans="1:15" ht="12.75">
      <c r="A5" s="3" t="s">
        <v>21</v>
      </c>
      <c r="B5" s="29">
        <f>3*180</f>
        <v>540</v>
      </c>
      <c r="C5" s="29">
        <v>300</v>
      </c>
      <c r="D5" s="4">
        <f>1.2*29.231</f>
        <v>35.0772</v>
      </c>
      <c r="E5" s="4">
        <f>1.2*29.231</f>
        <v>35.0772</v>
      </c>
      <c r="F5" s="4">
        <f t="shared" si="0"/>
        <v>18.941688</v>
      </c>
      <c r="G5" s="4">
        <f t="shared" si="0"/>
        <v>10.52316</v>
      </c>
      <c r="H5" s="16">
        <v>2</v>
      </c>
      <c r="I5" s="16">
        <v>2</v>
      </c>
      <c r="J5" s="16">
        <v>8</v>
      </c>
      <c r="K5" s="16">
        <v>1</v>
      </c>
      <c r="L5" s="16">
        <v>4</v>
      </c>
      <c r="M5" s="16">
        <v>2</v>
      </c>
      <c r="N5" s="16">
        <f>H5*I5+J5*K5+L5*M5</f>
        <v>20</v>
      </c>
      <c r="O5" s="4">
        <f>N5/100*G5</f>
        <v>2.104632</v>
      </c>
    </row>
    <row r="6" spans="1:15" ht="12.75">
      <c r="A6" s="5" t="s">
        <v>6</v>
      </c>
      <c r="B6" s="29">
        <f>56*86</f>
        <v>4816</v>
      </c>
      <c r="C6" s="29">
        <f>SUM(C7:C9)</f>
        <v>1578.5</v>
      </c>
      <c r="D6" s="4">
        <f>1.2*3.259</f>
        <v>3.9107999999999996</v>
      </c>
      <c r="E6" s="4">
        <f>1.2*2.986</f>
        <v>3.5832</v>
      </c>
      <c r="F6" s="4">
        <f t="shared" si="0"/>
        <v>18.8344128</v>
      </c>
      <c r="G6" s="4">
        <f t="shared" si="0"/>
        <v>5.656081200000001</v>
      </c>
      <c r="H6" s="16">
        <v>1</v>
      </c>
      <c r="I6" s="16">
        <v>2</v>
      </c>
      <c r="J6" s="16">
        <v>8</v>
      </c>
      <c r="K6" s="16">
        <v>1</v>
      </c>
      <c r="L6" s="16">
        <v>1</v>
      </c>
      <c r="M6" s="16">
        <v>2</v>
      </c>
      <c r="N6" s="16">
        <f>H6*I6+J6*K6+L6*M6</f>
        <v>12</v>
      </c>
      <c r="O6" s="4">
        <f>N6/100*G6</f>
        <v>0.6787297440000001</v>
      </c>
    </row>
    <row r="7" spans="1:15" ht="12.75">
      <c r="A7" s="6" t="s">
        <v>7</v>
      </c>
      <c r="B7" s="29">
        <f>B10+B12+B18+B19</f>
        <v>1651.2</v>
      </c>
      <c r="C7" s="29">
        <f>C10+C12+C18+C19</f>
        <v>1203.5</v>
      </c>
      <c r="D7" s="7"/>
      <c r="E7" s="7"/>
      <c r="F7" s="8"/>
      <c r="G7" s="8"/>
      <c r="O7" s="38"/>
    </row>
    <row r="8" spans="1:15" ht="12.75">
      <c r="A8" s="6" t="s">
        <v>8</v>
      </c>
      <c r="B8" s="29">
        <f>210/0.8</f>
        <v>262.5</v>
      </c>
      <c r="C8" s="29">
        <f>60/0.8</f>
        <v>75</v>
      </c>
      <c r="D8" s="7"/>
      <c r="E8" s="7"/>
      <c r="F8" s="8"/>
      <c r="G8" s="8"/>
      <c r="O8" s="38"/>
    </row>
    <row r="9" spans="1:15" ht="12.75">
      <c r="A9" s="9" t="s">
        <v>9</v>
      </c>
      <c r="B9" s="29">
        <f>B5</f>
        <v>540</v>
      </c>
      <c r="C9" s="29">
        <f>C5</f>
        <v>300</v>
      </c>
      <c r="D9" s="10"/>
      <c r="E9" s="10"/>
      <c r="F9" s="11"/>
      <c r="G9" s="11"/>
      <c r="O9" s="38"/>
    </row>
    <row r="10" spans="1:15" ht="12.75">
      <c r="A10" s="3" t="s">
        <v>17</v>
      </c>
      <c r="B10" s="29">
        <v>61.2</v>
      </c>
      <c r="C10" s="29">
        <v>468</v>
      </c>
      <c r="D10" s="12">
        <f>1.2*55.628</f>
        <v>66.75359999999999</v>
      </c>
      <c r="E10" s="12">
        <f>1.2*49.754</f>
        <v>59.70479999999999</v>
      </c>
      <c r="F10" s="4">
        <f>B10*D10/1000</f>
        <v>4.08532032</v>
      </c>
      <c r="G10" s="4">
        <f>C10*E10/1000</f>
        <v>27.941846399999996</v>
      </c>
      <c r="H10" s="16">
        <v>4</v>
      </c>
      <c r="I10" s="16">
        <v>2</v>
      </c>
      <c r="J10" s="16">
        <v>8</v>
      </c>
      <c r="K10" s="16">
        <v>1</v>
      </c>
      <c r="L10" s="16">
        <v>4</v>
      </c>
      <c r="M10" s="16">
        <v>2</v>
      </c>
      <c r="N10" s="16">
        <f>H10*I10+J10*K10+L10*M10</f>
        <v>24</v>
      </c>
      <c r="O10" s="4">
        <f>N10/100*G10</f>
        <v>6.706043135999999</v>
      </c>
    </row>
    <row r="11" spans="1:7" ht="12.75">
      <c r="A11" s="5" t="s">
        <v>30</v>
      </c>
      <c r="B11" s="30">
        <f>9*8*68</f>
        <v>4896</v>
      </c>
      <c r="C11" s="30">
        <v>0</v>
      </c>
      <c r="D11" s="14">
        <f>1.2*4.315</f>
        <v>5.178</v>
      </c>
      <c r="E11" s="14"/>
      <c r="F11" s="4">
        <f>B11*D11/1000</f>
        <v>25.351488</v>
      </c>
      <c r="G11" s="4">
        <f>C11*E11/1000</f>
        <v>0</v>
      </c>
    </row>
    <row r="12" spans="1:7" ht="12.75">
      <c r="A12" s="5" t="s">
        <v>18</v>
      </c>
      <c r="B12" s="29">
        <f>SUM(B13:B14)</f>
        <v>1540</v>
      </c>
      <c r="C12" s="29">
        <f>SUM(C13:C14)</f>
        <v>727</v>
      </c>
      <c r="D12" s="14"/>
      <c r="E12" s="14"/>
      <c r="F12" s="13"/>
      <c r="G12" s="13" t="s">
        <v>10</v>
      </c>
    </row>
    <row r="13" spans="1:15" s="39" customFormat="1" ht="12.75">
      <c r="A13" s="15" t="s">
        <v>28</v>
      </c>
      <c r="B13" s="29">
        <v>1540</v>
      </c>
      <c r="C13" s="29">
        <v>506</v>
      </c>
      <c r="D13" s="4">
        <f>1.2*58.588</f>
        <v>70.3056</v>
      </c>
      <c r="E13" s="4">
        <f>1.2*56.204</f>
        <v>67.4448</v>
      </c>
      <c r="F13" s="4">
        <f>B13*D13/1000</f>
        <v>108.270624</v>
      </c>
      <c r="G13" s="4">
        <f>C13*E13/1000</f>
        <v>34.1270688</v>
      </c>
      <c r="H13" s="16">
        <v>4</v>
      </c>
      <c r="I13" s="16">
        <v>2</v>
      </c>
      <c r="J13" s="16">
        <v>8</v>
      </c>
      <c r="K13" s="16">
        <v>1</v>
      </c>
      <c r="L13" s="16">
        <v>4</v>
      </c>
      <c r="M13" s="16">
        <v>2</v>
      </c>
      <c r="N13" s="16">
        <f>H13*I13+J13*K13+L13*M13</f>
        <v>24</v>
      </c>
      <c r="O13" s="4">
        <f>N13/100*G13</f>
        <v>8.190496512000001</v>
      </c>
    </row>
    <row r="14" spans="1:15" s="39" customFormat="1" ht="12.75">
      <c r="A14" s="17" t="s">
        <v>29</v>
      </c>
      <c r="B14" s="30">
        <v>0</v>
      </c>
      <c r="C14" s="30">
        <v>221</v>
      </c>
      <c r="D14" s="13">
        <f>1.2*55.6</f>
        <v>66.72</v>
      </c>
      <c r="E14" s="13">
        <f>1.2*49.754</f>
        <v>59.70479999999999</v>
      </c>
      <c r="F14" s="13"/>
      <c r="G14" s="13">
        <f>C14*E14/1000</f>
        <v>13.194760799999997</v>
      </c>
      <c r="H14" s="16">
        <v>4</v>
      </c>
      <c r="I14" s="16">
        <v>2</v>
      </c>
      <c r="J14" s="16">
        <v>8</v>
      </c>
      <c r="K14" s="16">
        <v>1</v>
      </c>
      <c r="L14" s="16">
        <v>4</v>
      </c>
      <c r="M14" s="16">
        <v>2</v>
      </c>
      <c r="N14" s="16">
        <f>H14*I14+J14*K14+L14*M14</f>
        <v>24</v>
      </c>
      <c r="O14" s="4">
        <f>N14/100*G14</f>
        <v>3.1667425919999994</v>
      </c>
    </row>
    <row r="15" spans="1:7" s="39" customFormat="1" ht="12.75">
      <c r="A15" s="5" t="s">
        <v>19</v>
      </c>
      <c r="B15" s="31"/>
      <c r="C15" s="32"/>
      <c r="D15" s="12"/>
      <c r="E15" s="12"/>
      <c r="F15" s="12"/>
      <c r="G15" s="18" t="s">
        <v>10</v>
      </c>
    </row>
    <row r="16" spans="1:7" ht="12.75">
      <c r="A16" s="15" t="s">
        <v>11</v>
      </c>
      <c r="B16" s="33">
        <f>7*7*45</f>
        <v>2205</v>
      </c>
      <c r="C16" s="33"/>
      <c r="D16" s="11">
        <f>1.2*4.133</f>
        <v>4.9596</v>
      </c>
      <c r="E16" s="11"/>
      <c r="F16" s="11">
        <f aca="true" t="shared" si="1" ref="F16:G19">B16*D16/1000</f>
        <v>10.935918</v>
      </c>
      <c r="G16" s="11">
        <f t="shared" si="1"/>
        <v>0</v>
      </c>
    </row>
    <row r="17" spans="1:15" ht="12.75">
      <c r="A17" s="17" t="s">
        <v>12</v>
      </c>
      <c r="B17" s="29">
        <f>3*10*45</f>
        <v>1350</v>
      </c>
      <c r="C17" s="29">
        <f>B17</f>
        <v>1350</v>
      </c>
      <c r="D17" s="4">
        <f>1.2*1.774</f>
        <v>2.1288</v>
      </c>
      <c r="E17" s="4">
        <f>1.2*1.723</f>
        <v>2.0676</v>
      </c>
      <c r="F17" s="4">
        <f t="shared" si="1"/>
        <v>2.87388</v>
      </c>
      <c r="G17" s="4">
        <f t="shared" si="1"/>
        <v>2.7912600000000003</v>
      </c>
      <c r="H17" s="16">
        <v>6</v>
      </c>
      <c r="I17" s="16">
        <v>2</v>
      </c>
      <c r="J17" s="16">
        <v>8</v>
      </c>
      <c r="K17" s="16">
        <v>1</v>
      </c>
      <c r="L17" s="16">
        <v>6</v>
      </c>
      <c r="M17" s="16">
        <v>2</v>
      </c>
      <c r="N17" s="16">
        <f>H17*I17+J17*K17+L17*M17</f>
        <v>32</v>
      </c>
      <c r="O17" s="4">
        <f>N17/100*G17</f>
        <v>0.8932032000000001</v>
      </c>
    </row>
    <row r="18" spans="1:15" ht="12.75">
      <c r="A18" s="3" t="s">
        <v>13</v>
      </c>
      <c r="B18" s="29">
        <v>0</v>
      </c>
      <c r="C18" s="29">
        <v>7.5</v>
      </c>
      <c r="D18" s="4">
        <f>2*(159+2*140)/5</f>
        <v>175.6</v>
      </c>
      <c r="E18" s="4">
        <f>2*(159+2*140)/5</f>
        <v>175.6</v>
      </c>
      <c r="F18" s="4">
        <f t="shared" si="1"/>
        <v>0</v>
      </c>
      <c r="G18" s="4">
        <f t="shared" si="1"/>
        <v>1.317</v>
      </c>
      <c r="H18" s="16">
        <v>6</v>
      </c>
      <c r="I18" s="16">
        <v>2</v>
      </c>
      <c r="J18" s="16">
        <v>4</v>
      </c>
      <c r="K18" s="16">
        <v>1</v>
      </c>
      <c r="L18" s="16">
        <v>6</v>
      </c>
      <c r="M18" s="16">
        <v>2</v>
      </c>
      <c r="N18" s="16">
        <f>H18*I18+J18*K18+L18*M18</f>
        <v>28</v>
      </c>
      <c r="O18" s="4">
        <f>N18/100*G18</f>
        <v>0.36876000000000003</v>
      </c>
    </row>
    <row r="19" spans="1:15" ht="12.75">
      <c r="A19" s="3" t="s">
        <v>22</v>
      </c>
      <c r="B19" s="29">
        <v>50</v>
      </c>
      <c r="C19" s="29">
        <v>1</v>
      </c>
      <c r="D19" s="4">
        <v>100</v>
      </c>
      <c r="E19" s="4">
        <v>100</v>
      </c>
      <c r="F19" s="4">
        <f t="shared" si="1"/>
        <v>5</v>
      </c>
      <c r="G19" s="4">
        <f t="shared" si="1"/>
        <v>0.1</v>
      </c>
      <c r="H19" s="16">
        <v>2</v>
      </c>
      <c r="I19" s="16">
        <v>2</v>
      </c>
      <c r="J19" s="16">
        <v>4</v>
      </c>
      <c r="K19" s="16">
        <v>1</v>
      </c>
      <c r="L19" s="16">
        <v>6</v>
      </c>
      <c r="M19" s="16">
        <v>2</v>
      </c>
      <c r="N19" s="16">
        <f>H19*I19+J19*K19+L19*M19</f>
        <v>20</v>
      </c>
      <c r="O19" s="4">
        <f>N19/100*G19</f>
        <v>0.020000000000000004</v>
      </c>
    </row>
    <row r="20" spans="1:15" ht="12.75">
      <c r="A20" s="3" t="s">
        <v>14</v>
      </c>
      <c r="B20" s="29"/>
      <c r="C20" s="29"/>
      <c r="D20" s="4" t="s">
        <v>31</v>
      </c>
      <c r="E20" s="4" t="s">
        <v>31</v>
      </c>
      <c r="F20" s="4">
        <f>1.455*2.412</f>
        <v>3.5094600000000002</v>
      </c>
      <c r="G20" s="4">
        <f>1.455*2.412</f>
        <v>3.5094600000000002</v>
      </c>
      <c r="H20" s="16">
        <v>6</v>
      </c>
      <c r="I20" s="16">
        <v>2</v>
      </c>
      <c r="J20" s="16">
        <v>8</v>
      </c>
      <c r="K20" s="16">
        <v>1</v>
      </c>
      <c r="L20" s="16">
        <v>4</v>
      </c>
      <c r="M20" s="16">
        <v>2</v>
      </c>
      <c r="N20" s="16">
        <f>H20*I20+J20*K20+L20*M20</f>
        <v>28</v>
      </c>
      <c r="O20" s="4">
        <f>N20/100*G20</f>
        <v>0.9826488000000002</v>
      </c>
    </row>
    <row r="21" spans="1:15" ht="12.75">
      <c r="A21" s="19" t="s">
        <v>15</v>
      </c>
      <c r="B21" s="29"/>
      <c r="C21" s="29"/>
      <c r="D21" s="18" t="s">
        <v>31</v>
      </c>
      <c r="E21" s="4" t="s">
        <v>31</v>
      </c>
      <c r="F21" s="4">
        <f>1.455*34.13</f>
        <v>49.659150000000004</v>
      </c>
      <c r="G21" s="4">
        <f>1.455*15.133</f>
        <v>22.018515</v>
      </c>
      <c r="H21" s="16">
        <v>4</v>
      </c>
      <c r="I21" s="16">
        <v>2</v>
      </c>
      <c r="J21" s="16">
        <v>4</v>
      </c>
      <c r="K21" s="16">
        <v>1</v>
      </c>
      <c r="L21" s="16">
        <v>4</v>
      </c>
      <c r="M21" s="16">
        <v>2</v>
      </c>
      <c r="N21" s="16">
        <f>H21*I21+J21*K21+L21*M21</f>
        <v>20</v>
      </c>
      <c r="O21" s="4">
        <f>N21/100*G21</f>
        <v>4.403703</v>
      </c>
    </row>
    <row r="22" spans="1:15" ht="12.75">
      <c r="A22" s="16" t="s">
        <v>23</v>
      </c>
      <c r="B22" s="29" t="s">
        <v>25</v>
      </c>
      <c r="C22" s="29" t="s">
        <v>25</v>
      </c>
      <c r="D22" s="12"/>
      <c r="E22" s="12"/>
      <c r="F22" s="4">
        <f>8*6*125*8*5*48/1000000</f>
        <v>11.52</v>
      </c>
      <c r="G22" s="4">
        <f>8*6*125*8*5*48/1000000</f>
        <v>11.52</v>
      </c>
      <c r="H22" s="16">
        <v>4</v>
      </c>
      <c r="I22" s="16">
        <v>2</v>
      </c>
      <c r="J22" s="16">
        <v>8</v>
      </c>
      <c r="K22" s="16">
        <v>1</v>
      </c>
      <c r="L22" s="16">
        <v>4</v>
      </c>
      <c r="M22" s="16">
        <v>2</v>
      </c>
      <c r="N22" s="16">
        <f>H22*I22+J22*K22+L22*M22</f>
        <v>24</v>
      </c>
      <c r="O22" s="4">
        <f>N22/100*G22</f>
        <v>2.7647999999999997</v>
      </c>
    </row>
    <row r="23" spans="1:15" ht="12.75">
      <c r="A23" s="20" t="s">
        <v>34</v>
      </c>
      <c r="B23" s="32"/>
      <c r="C23" s="32" t="s">
        <v>10</v>
      </c>
      <c r="D23" s="12" t="s">
        <v>10</v>
      </c>
      <c r="E23" s="12"/>
      <c r="F23" s="4">
        <f>SUM(F2:F22)</f>
        <v>280.33894111999996</v>
      </c>
      <c r="G23" s="4">
        <f>SUM(G2:G22)</f>
        <v>146.93715219999999</v>
      </c>
      <c r="H23" s="40"/>
      <c r="I23" s="40"/>
      <c r="J23" s="40"/>
      <c r="K23" s="40"/>
      <c r="L23" s="40"/>
      <c r="M23" s="40"/>
      <c r="N23" s="29">
        <f>O23/G23*100</f>
        <v>21.770068702883165</v>
      </c>
      <c r="O23" s="4">
        <f>SUM(O2:O22)</f>
        <v>31.988318984</v>
      </c>
    </row>
    <row r="24" spans="1:15" ht="12.75">
      <c r="A24" s="21" t="s">
        <v>16</v>
      </c>
      <c r="B24" s="29">
        <v>155</v>
      </c>
      <c r="C24" s="29">
        <v>60</v>
      </c>
      <c r="D24" s="4">
        <v>120.8</v>
      </c>
      <c r="E24" s="4">
        <v>120.8</v>
      </c>
      <c r="F24" s="4">
        <f>B24*D24/1000</f>
        <v>18.724</v>
      </c>
      <c r="G24" s="4">
        <f>C24*E24/1000</f>
        <v>7.248</v>
      </c>
      <c r="O24" s="38"/>
    </row>
    <row r="25" spans="1:15" ht="12.75">
      <c r="A25" s="22" t="s">
        <v>24</v>
      </c>
      <c r="B25" s="29" t="s">
        <v>26</v>
      </c>
      <c r="C25" s="29" t="s">
        <v>27</v>
      </c>
      <c r="D25" s="23"/>
      <c r="E25" s="7"/>
      <c r="F25" s="4">
        <f>4*6*125*8*5*48/1000000</f>
        <v>5.76</v>
      </c>
      <c r="G25" s="4">
        <f>4*6*125*8*5*48/1000000</f>
        <v>5.76</v>
      </c>
      <c r="O25" s="38"/>
    </row>
    <row r="26" spans="1:15" ht="12.75">
      <c r="A26" s="24" t="s">
        <v>35</v>
      </c>
      <c r="B26" s="34" t="s">
        <v>10</v>
      </c>
      <c r="C26" s="34" t="s">
        <v>10</v>
      </c>
      <c r="D26" s="25" t="s">
        <v>10</v>
      </c>
      <c r="E26" s="26"/>
      <c r="F26" s="27">
        <f>F24+F25</f>
        <v>24.484</v>
      </c>
      <c r="G26" s="27">
        <f>G24+G25</f>
        <v>13.008</v>
      </c>
      <c r="H26" s="16">
        <v>1</v>
      </c>
      <c r="I26" s="16">
        <v>2</v>
      </c>
      <c r="J26" s="16">
        <v>8</v>
      </c>
      <c r="K26" s="16">
        <v>1</v>
      </c>
      <c r="L26" s="16">
        <v>4</v>
      </c>
      <c r="M26" s="16">
        <v>2</v>
      </c>
      <c r="N26" s="16">
        <f>H26*I26+J26*K26+L26*M26</f>
        <v>18</v>
      </c>
      <c r="O26" s="4">
        <f>N26/100*G26</f>
        <v>2.34144</v>
      </c>
    </row>
    <row r="27" spans="1:15" ht="12.75">
      <c r="A27" s="28" t="s">
        <v>20</v>
      </c>
      <c r="B27" s="32"/>
      <c r="C27" s="32"/>
      <c r="D27" s="12"/>
      <c r="E27" s="18"/>
      <c r="F27" s="18">
        <f>F23+F26</f>
        <v>304.82294111999994</v>
      </c>
      <c r="G27" s="4">
        <f>G23+G26</f>
        <v>159.9451522</v>
      </c>
      <c r="H27" s="39"/>
      <c r="I27" s="39"/>
      <c r="J27" s="39"/>
      <c r="K27" s="39"/>
      <c r="L27" s="39"/>
      <c r="M27" s="39"/>
      <c r="N27" s="39"/>
      <c r="O27" s="4">
        <f>O23+O26</f>
        <v>34.329758984</v>
      </c>
    </row>
    <row r="29" spans="1:15" ht="12.75">
      <c r="A29" s="41"/>
      <c r="B29" s="42"/>
      <c r="C29" s="41"/>
      <c r="D29" s="42"/>
      <c r="E29" s="41"/>
      <c r="F29" s="42"/>
      <c r="G29" s="41"/>
      <c r="O29" s="38">
        <f>G27+O27</f>
        <v>194.274911184</v>
      </c>
    </row>
    <row r="30" spans="1:7" ht="12.75">
      <c r="A30" s="41"/>
      <c r="B30" s="42"/>
      <c r="C30" s="41"/>
      <c r="D30" s="42"/>
      <c r="E30" s="41"/>
      <c r="F30" s="42"/>
      <c r="G30" s="41"/>
    </row>
  </sheetData>
  <printOptions gridLines="1"/>
  <pageMargins left="0.75" right="0.75" top="1" bottom="1" header="0.5" footer="0.5"/>
  <pageSetup fitToHeight="1" fitToWidth="1" orientation="landscape" paperSize="9" scale="72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Neumeyer</cp:lastModifiedBy>
  <cp:lastPrinted>2000-06-01T17:25:10Z</cp:lastPrinted>
  <dcterms:created xsi:type="dcterms:W3CDTF">2000-06-05T14:34:06Z</dcterms:created>
  <cp:category/>
  <cp:version/>
  <cp:contentType/>
  <cp:contentStatus/>
</cp:coreProperties>
</file>