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" yWindow="4160" windowWidth="15720" windowHeight="9300" tabRatio="500" activeTab="0"/>
  </bookViews>
  <sheets>
    <sheet name="Passive Structure 11-14-00.xls" sheetId="1" r:id="rId1"/>
  </sheets>
  <definedNames>
    <definedName name="bh">'Passive Structure 11-14-00.xls'!$B$92</definedName>
    <definedName name="dl">'Passive Structure 11-14-00.xls'!$B$217</definedName>
    <definedName name="dll">'Passive Structure 11-14-00.xls'!$B$102</definedName>
    <definedName name="dlone">'Passive Structure 11-14-00.xls'!$B$20</definedName>
    <definedName name="dlthree">'Passive Structure 11-14-00.xls'!$B$26</definedName>
    <definedName name="dltwo">'Passive Structure 11-14-00.xls'!$B$23</definedName>
    <definedName name="dlu">'Passive Structure 11-14-00.xls'!$B$101</definedName>
    <definedName name="frac">'Passive Structure 11-14-00.xls'!#REF!</definedName>
    <definedName name="gamma">'Passive Structure 11-14-00.xls'!$B$17</definedName>
    <definedName name="ml">'Passive Structure 11-14-00.xls'!$J$137</definedName>
    <definedName name="mu">'Passive Structure 11-14-00.xls'!$J$136</definedName>
    <definedName name="nfp">'Passive Structure 11-14-00.xls'!$B$100</definedName>
    <definedName name="nfs">'Passive Structure 11-14-00.xls'!$B$99</definedName>
    <definedName name="np">'Passive Structure 11-14-00.xls'!$B$98</definedName>
    <definedName name="npl">'Passive Structure 11-14-00.xls'!$B$100</definedName>
    <definedName name="npu">'Passive Structure 11-14-00.xls'!$B$99</definedName>
    <definedName name="obdres">'Passive Structure 11-14-00.xls'!$C$248</definedName>
    <definedName name="prires">'Passive Structure 11-14-00.xls'!$C$171</definedName>
    <definedName name="r0l">'Passive Structure 11-14-00.xls'!$B$148</definedName>
    <definedName name="r0u">'Passive Structure 11-14-00.xls'!$B$141</definedName>
    <definedName name="rad1">'Passive Structure 11-14-00.xls'!$B$7</definedName>
    <definedName name="rad2">'Passive Structure 11-14-00.xls'!$B$10</definedName>
    <definedName name="rad3">'Passive Structure 11-14-00.xls'!$B$13</definedName>
    <definedName name="rescopper">'Passive Structure 11-14-00.xls'!$C$3</definedName>
    <definedName name="resinconel">'Passive Structure 11-14-00.xls'!$C$2</definedName>
    <definedName name="resseg">'Passive Structure 11-14-00.xls'!#REF!</definedName>
    <definedName name="resss">'Passive Structure 11-14-00.xls'!$C$1</definedName>
    <definedName name="rinner">'Passive Structure 11-14-00.xls'!$B$181</definedName>
    <definedName name="rol">'Passive Structure 11-14-00.xls'!$B$148</definedName>
    <definedName name="router">'Passive Structure 11-14-00.xls'!$B$177</definedName>
    <definedName name="rpritop">'Passive Structure 11-14-00.xls'!$B$88</definedName>
    <definedName name="rsectop">'Passive Structure 11-14-00.xls'!$B$87</definedName>
    <definedName name="secres">'Passive Structure 11-14-00.xls'!$C$170</definedName>
    <definedName name="seg1">'Passive Structure 11-14-00.xls'!$B$19</definedName>
    <definedName name="seg2">'Passive Structure 11-14-00.xls'!$B$22</definedName>
    <definedName name="seg3">'Passive Structure 11-14-00.xls'!$B$25</definedName>
    <definedName name="tbracket">'Passive Structure 11-14-00.xls'!$B$139</definedName>
    <definedName name="th">'Passive Structure 11-14-00.xls'!$B$16</definedName>
    <definedName name="theta">'Passive Structure 11-14-00.xls'!$B$212</definedName>
    <definedName name="thetal">'Passive Structure 11-14-00.xls'!$C$80</definedName>
    <definedName name="thetau">'Passive Structure 11-14-00.xls'!$C$79</definedName>
    <definedName name="tpfc">'Passive Structure 11-14-00.xls'!$C$75</definedName>
    <definedName name="tplate">'Passive Structure 11-14-00.xls'!$C$76</definedName>
    <definedName name="z0l">'Passive Structure 11-14-00.xls'!$C$148</definedName>
    <definedName name="z0u">'Passive Structure 11-14-00.xls'!$C$141</definedName>
    <definedName name="zed1">'Passive Structure 11-14-00.xls'!$B$14</definedName>
    <definedName name="zed2">'Passive Structure 11-14-00.xls'!$B$15</definedName>
    <definedName name="zflange">'Passive Structure 11-14-00.xls'!$C$189</definedName>
    <definedName name="zol">'Passive Structure 11-14-00.xls'!$C$148</definedName>
    <definedName name="zpritop">'Passive Structure 11-14-00.xls'!$C$88</definedName>
    <definedName name="zsectop">'Passive Structure 11-14-00.xls'!$C$87</definedName>
    <definedName name="ztop">'Passive Structure 11-14-00.xls'!$C$177</definedName>
  </definedNames>
  <calcPr fullCalcOnLoad="1"/>
</workbook>
</file>

<file path=xl/sharedStrings.xml><?xml version="1.0" encoding="utf-8"?>
<sst xmlns="http://schemas.openxmlformats.org/spreadsheetml/2006/main" count="566" uniqueCount="202">
  <si>
    <t>Front Face Outboard</t>
  </si>
  <si>
    <t>Back Plate CL Inboard</t>
  </si>
  <si>
    <t>Back Plate CL Outboard</t>
  </si>
  <si>
    <t>Rstart</t>
  </si>
  <si>
    <t>Zstart</t>
  </si>
  <si>
    <t>adm</t>
  </si>
  <si>
    <t>1/Ω</t>
  </si>
  <si>
    <t>∑Y</t>
  </si>
  <si>
    <t>#Gaps</t>
  </si>
  <si>
    <t>Plate-Plate Gap</t>
  </si>
  <si>
    <t>Ring width</t>
  </si>
  <si>
    <t>Ring height</t>
  </si>
  <si>
    <t>m^2</t>
  </si>
  <si>
    <t>m</t>
  </si>
  <si>
    <t>#ring</t>
  </si>
  <si>
    <t>R/ring</t>
  </si>
  <si>
    <t>R/gap</t>
  </si>
  <si>
    <t>∑R</t>
  </si>
  <si>
    <t>#filaments</t>
  </si>
  <si>
    <t>Both Planes</t>
  </si>
  <si>
    <t>R/filament</t>
  </si>
  <si>
    <t>Rc</t>
  </si>
  <si>
    <t>Zc</t>
  </si>
  <si>
    <t>Turns</t>
  </si>
  <si>
    <t>Sym</t>
  </si>
  <si>
    <t>Rest</t>
  </si>
  <si>
    <t>ff</t>
  </si>
  <si>
    <t>ncc</t>
  </si>
  <si>
    <t>alf</t>
  </si>
  <si>
    <t>ecr</t>
  </si>
  <si>
    <t>csa</t>
  </si>
  <si>
    <t>icr</t>
  </si>
  <si>
    <t>Y</t>
  </si>
  <si>
    <t>Ckt #</t>
  </si>
  <si>
    <t>Output</t>
  </si>
  <si>
    <t>(m)</t>
  </si>
  <si>
    <t>(µΩ-cm)</t>
  </si>
  <si>
    <t>(Ω)</t>
  </si>
  <si>
    <t>(m^2)</t>
  </si>
  <si>
    <t>OH</t>
  </si>
  <si>
    <t>PF1a</t>
  </si>
  <si>
    <t>PF2</t>
  </si>
  <si>
    <t>PF3</t>
  </si>
  <si>
    <t>PF4bc</t>
  </si>
  <si>
    <t>PF5ab</t>
  </si>
  <si>
    <t>Plasma</t>
  </si>
  <si>
    <t>VV</t>
  </si>
  <si>
    <t>SPP</t>
  </si>
  <si>
    <t>PPP</t>
  </si>
  <si>
    <t>IBDH</t>
  </si>
  <si>
    <t>IBDV</t>
  </si>
  <si>
    <t>CSC</t>
  </si>
  <si>
    <t>OBD</t>
  </si>
  <si>
    <t>SS</t>
  </si>
  <si>
    <t>Cu</t>
  </si>
  <si>
    <t>365µΩ</t>
  </si>
  <si>
    <t>81.7µΩ</t>
  </si>
  <si>
    <t>304SS</t>
  </si>
  <si>
    <t>Ω-m</t>
  </si>
  <si>
    <t>Inconel</t>
  </si>
  <si>
    <t>Copper</t>
  </si>
  <si>
    <t>r1</t>
  </si>
  <si>
    <t>t1</t>
  </si>
  <si>
    <t>R1</t>
  </si>
  <si>
    <t xml:space="preserve"> </t>
  </si>
  <si>
    <t>r2</t>
  </si>
  <si>
    <t>t2</t>
  </si>
  <si>
    <t>R2</t>
  </si>
  <si>
    <t>r3</t>
  </si>
  <si>
    <t>t3</t>
  </si>
  <si>
    <t>R3</t>
  </si>
  <si>
    <t>Z1</t>
  </si>
  <si>
    <t>Z2</t>
  </si>
  <si>
    <t>Theta</t>
  </si>
  <si>
    <t>Gamma</t>
  </si>
  <si>
    <t>L1</t>
  </si>
  <si>
    <t>#S1</t>
  </si>
  <si>
    <t>∆L1</t>
  </si>
  <si>
    <t>L2</t>
  </si>
  <si>
    <t>#S2</t>
  </si>
  <si>
    <t>∆L2</t>
  </si>
  <si>
    <t>L3</t>
  </si>
  <si>
    <t>#S3</t>
  </si>
  <si>
    <t>∆L3</t>
  </si>
  <si>
    <t>#Segments</t>
  </si>
  <si>
    <t>#</t>
  </si>
  <si>
    <t>R</t>
  </si>
  <si>
    <t>Z</t>
  </si>
  <si>
    <t>gamma</t>
  </si>
  <si>
    <t>segment length</t>
  </si>
  <si>
    <t>theta</t>
  </si>
  <si>
    <t>∆Rmid</t>
  </si>
  <si>
    <t>∆Zmid</t>
  </si>
  <si>
    <t>Rmid</t>
  </si>
  <si>
    <t>Zmid</t>
  </si>
  <si>
    <t>thick</t>
  </si>
  <si>
    <t>length</t>
  </si>
  <si>
    <t>area</t>
  </si>
  <si>
    <t>res</t>
  </si>
  <si>
    <t>Idis</t>
  </si>
  <si>
    <t>Br</t>
  </si>
  <si>
    <t>Bz</t>
  </si>
  <si>
    <t>|B|</t>
  </si>
  <si>
    <t>Fz</t>
  </si>
  <si>
    <t>Fr</t>
  </si>
  <si>
    <t>F</t>
  </si>
  <si>
    <t>Pvv</t>
  </si>
  <si>
    <t>(in)</t>
  </si>
  <si>
    <t>(deg)</t>
  </si>
  <si>
    <t>(rad)</t>
  </si>
  <si>
    <t>(in^2)</t>
  </si>
  <si>
    <t>Ω</t>
  </si>
  <si>
    <t>(kA)</t>
  </si>
  <si>
    <t>(T)</t>
  </si>
  <si>
    <t>(lb)</t>
  </si>
  <si>
    <t>(lb/in^2)</t>
  </si>
  <si>
    <t>∑Force</t>
  </si>
  <si>
    <t>Area</t>
  </si>
  <si>
    <t>Stress</t>
  </si>
  <si>
    <t>PFC Front Face</t>
  </si>
  <si>
    <t>Plate</t>
  </si>
  <si>
    <t>Upper</t>
  </si>
  <si>
    <t>Fixed</t>
  </si>
  <si>
    <t>x</t>
  </si>
  <si>
    <t>Intsct</t>
  </si>
  <si>
    <t>Calculated</t>
  </si>
  <si>
    <t>Lower</t>
  </si>
  <si>
    <t>dZ/dR</t>
  </si>
  <si>
    <t>Ro</t>
  </si>
  <si>
    <t>Zo</t>
  </si>
  <si>
    <t>Rintersect</t>
  </si>
  <si>
    <t>Zintersect</t>
  </si>
  <si>
    <t>Sec</t>
  </si>
  <si>
    <t>Pri</t>
  </si>
  <si>
    <t>Backing Plate Centerline</t>
  </si>
  <si>
    <t>PFC</t>
  </si>
  <si>
    <t>in</t>
  </si>
  <si>
    <t>Length</t>
  </si>
  <si>
    <t>PFC Front Face and Backing Plate Centerline</t>
  </si>
  <si>
    <t>Front Face Sec Top</t>
  </si>
  <si>
    <t>Front Face Intersect</t>
  </si>
  <si>
    <t>Front Face Pri Bottom</t>
  </si>
  <si>
    <t>Back Plate CL Top</t>
  </si>
  <si>
    <t>Back Plate CL Intersect</t>
  </si>
  <si>
    <t>Back Plate CL Bottom</t>
  </si>
  <si>
    <t>Mid Elevation Top</t>
  </si>
  <si>
    <t>Mid Elevation Bottom</t>
  </si>
  <si>
    <t>Bracket Height</t>
  </si>
  <si>
    <t>Sec Bracket Top</t>
  </si>
  <si>
    <t>Sec Bracket Bottom</t>
  </si>
  <si>
    <t>Pri Bracket Top</t>
  </si>
  <si>
    <t>Pri Bracket Bottom</t>
  </si>
  <si>
    <t>#Segments Sec</t>
  </si>
  <si>
    <t>#Segments Pri</t>
  </si>
  <si>
    <t>∆L Sec</t>
  </si>
  <si>
    <t>∆L Pri</t>
  </si>
  <si>
    <t>∆L</t>
  </si>
  <si>
    <t>∆R</t>
  </si>
  <si>
    <t>∆Z</t>
  </si>
  <si>
    <t>(cm)</t>
  </si>
  <si>
    <t>Z3</t>
  </si>
  <si>
    <t>R4</t>
  </si>
  <si>
    <t>Z4</t>
  </si>
  <si>
    <t>Sec Bracket</t>
  </si>
  <si>
    <t>Pri Bracket</t>
  </si>
  <si>
    <t>Thickness Bracket</t>
  </si>
  <si>
    <t>Sec Top Inboard</t>
  </si>
  <si>
    <t>Sec Top Outboard</t>
  </si>
  <si>
    <t>Sec Bott Inboard</t>
  </si>
  <si>
    <t>Sec Bott Outboard</t>
  </si>
  <si>
    <t>Sec ∆R Avg</t>
  </si>
  <si>
    <t>Sec Resistance</t>
  </si>
  <si>
    <t>used to be 2*resss*B145/(tbracket*bh)*(100/2.54)</t>
  </si>
  <si>
    <t>Pri Top Inboard</t>
  </si>
  <si>
    <t>Pri Top Outboard</t>
  </si>
  <si>
    <t>Pri Bott Inboard</t>
  </si>
  <si>
    <t>Pri Bott Outboard</t>
  </si>
  <si>
    <t>Pri ∆R Avg</t>
  </si>
  <si>
    <t>Pri Resistance</t>
  </si>
  <si>
    <t>Used to be2*resss*B152/(tbracket*bh)*(100/2.54)</t>
  </si>
  <si>
    <t>Thickness Flex</t>
  </si>
  <si>
    <t>Obselete</t>
  </si>
  <si>
    <t>Length Flex</t>
  </si>
  <si>
    <t>Height Flex</t>
  </si>
  <si>
    <t>Separation</t>
  </si>
  <si>
    <t>Res/Flex</t>
  </si>
  <si>
    <t>Contact Width</t>
  </si>
  <si>
    <t>Contact Area</t>
  </si>
  <si>
    <t>in^2</t>
  </si>
  <si>
    <t>Contact Resistivity</t>
  </si>
  <si>
    <t>Ω-in^2</t>
  </si>
  <si>
    <t>Contact Resistance/Flex (2 sides)</t>
  </si>
  <si>
    <t>Half Plane</t>
  </si>
  <si>
    <t>Combined</t>
  </si>
  <si>
    <t>∑Sec External Resistance</t>
  </si>
  <si>
    <t>∑Pri External Resistance</t>
  </si>
  <si>
    <t>Per Sec Filament</t>
  </si>
  <si>
    <t>Per Pri Filament</t>
  </si>
  <si>
    <t>CS Casing</t>
  </si>
  <si>
    <t>Outboard Divertor</t>
  </si>
  <si>
    <t>Backplate</t>
  </si>
  <si>
    <t>Front Face Inboard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</si>
</sst>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E+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14.5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1" fontId="0" fillId="0" borderId="0" xfId="0" applyNumberFormat="1" applyAlignment="1">
      <alignment/>
    </xf>
    <xf numFmtId="11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Outer VV Input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825"/>
          <c:w val="0.90775"/>
          <c:h val="0.77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11-14-00.xls'!$B$30:$B$53</c:f>
              <c:numCache/>
            </c:numRef>
          </c:xVal>
          <c:yVal>
            <c:numRef>
              <c:f>'Passive Structure 11-14-00.xls'!$C$30:$C$53</c:f>
              <c:numCache/>
            </c:numRef>
          </c:yVal>
          <c:smooth val="0"/>
        </c:ser>
        <c:axId val="33924417"/>
        <c:axId val="36884298"/>
      </c:scatterChart>
      <c:valAx>
        <c:axId val="3392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84298"/>
        <c:crosses val="autoZero"/>
        <c:crossBetween val="midCat"/>
        <c:dispUnits/>
      </c:valAx>
      <c:valAx>
        <c:axId val="3688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92441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Outer VV Mid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3775"/>
          <c:w val="0.9057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11-14-00.xls'!$M$30:$M$53</c:f>
              <c:numCache/>
            </c:numRef>
          </c:xVal>
          <c:yVal>
            <c:numRef>
              <c:f>'Passive Structure 11-14-00.xls'!$N$30:$N$53</c:f>
              <c:numCache/>
            </c:numRef>
          </c:yVal>
          <c:smooth val="0"/>
        </c:ser>
        <c:axId val="63523227"/>
        <c:axId val="34838132"/>
      </c:scatterChart>
      <c:valAx>
        <c:axId val="6352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38132"/>
        <c:crosses val="autoZero"/>
        <c:crossBetween val="midCat"/>
        <c:dispUnits/>
      </c:valAx>
      <c:valAx>
        <c:axId val="348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2322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CS Casing Input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1085"/>
          <c:w val="0.8455"/>
          <c:h val="0.83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11-14-00.xls'!$B$177:$B$201</c:f>
              <c:numCache/>
            </c:numRef>
          </c:xVal>
          <c:yVal>
            <c:numRef>
              <c:f>'Passive Structure 11-14-00.xls'!$C$177:$C$201</c:f>
              <c:numCache/>
            </c:numRef>
          </c:yVal>
          <c:smooth val="0"/>
        </c:ser>
        <c:axId val="45107733"/>
        <c:axId val="3316414"/>
      </c:scatterChart>
      <c:valAx>
        <c:axId val="45107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16414"/>
        <c:crosses val="autoZero"/>
        <c:crossBetween val="midCat"/>
        <c:dispUnits/>
      </c:valAx>
      <c:valAx>
        <c:axId val="33164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07733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CS Casing Mid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0425"/>
          <c:w val="0.85225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11-14-00.xls'!$L$177:$L$200</c:f>
              <c:numCache/>
            </c:numRef>
          </c:xVal>
          <c:yVal>
            <c:numRef>
              <c:f>'Passive Structure 11-14-00.xls'!$M$177:$M$200</c:f>
              <c:numCache/>
            </c:numRef>
          </c:yVal>
          <c:smooth val="0"/>
        </c:ser>
        <c:axId val="29847727"/>
        <c:axId val="194088"/>
      </c:scatterChart>
      <c:valAx>
        <c:axId val="2984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088"/>
        <c:crosses val="autoZero"/>
        <c:crossBetween val="midCat"/>
        <c:dispUnits/>
      </c:valAx>
      <c:valAx>
        <c:axId val="194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84772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PFC Front Face Input Points &amp; Intersect Point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9725"/>
          <c:w val="0.9"/>
          <c:h val="0.71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11-14-00.xls'!$B$60:$B$64</c:f>
              <c:numCache/>
            </c:numRef>
          </c:xVal>
          <c:yVal>
            <c:numRef>
              <c:f>'Passive Structure 11-14-00.xls'!$C$60:$C$64</c:f>
              <c:numCache/>
            </c:numRef>
          </c:yVal>
          <c:smooth val="0"/>
        </c:ser>
        <c:axId val="1746793"/>
        <c:axId val="15721138"/>
      </c:scatterChart>
      <c:valAx>
        <c:axId val="174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21138"/>
        <c:crosses val="autoZero"/>
        <c:crossBetween val="midCat"/>
        <c:dispUnits/>
      </c:valAx>
      <c:valAx>
        <c:axId val="1572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46793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PFC Front Face &amp; Backing Plate Centerline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4225"/>
          <c:w val="0.89675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11-14-00.xls'!$B$84:$B$89</c:f>
              <c:numCache/>
            </c:numRef>
          </c:xVal>
          <c:yVal>
            <c:numRef>
              <c:f>'Passive Structure 11-14-00.xls'!$C$84:$C$89</c:f>
              <c:numCache/>
            </c:numRef>
          </c:yVal>
          <c:smooth val="0"/>
        </c:ser>
        <c:axId val="7272515"/>
        <c:axId val="65452636"/>
      </c:scatterChart>
      <c:valAx>
        <c:axId val="727251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452636"/>
        <c:crosses val="autoZero"/>
        <c:crossBetween val="midCat"/>
        <c:dispUnits/>
      </c:valAx>
      <c:valAx>
        <c:axId val="65452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72515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Back Plate Segment End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42"/>
          <c:w val="0.956"/>
          <c:h val="0.8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'Passive Structure 11-14-00.xls'!$F$103</c:f>
              <c:strCache>
                <c:ptCount val="1"/>
                <c:pt idx="0">
                  <c:v>Z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11-14-00.xls'!$E$104:$E$116</c:f>
              <c:numCache/>
            </c:numRef>
          </c:xVal>
          <c:yVal>
            <c:numRef>
              <c:f>'Passive Structure 11-14-00.xls'!$F$104:$F$116</c:f>
              <c:numCache/>
            </c:numRef>
          </c:yVal>
          <c:smooth val="0"/>
        </c:ser>
        <c:axId val="52202813"/>
        <c:axId val="63270"/>
      </c:scatterChart>
      <c:valAx>
        <c:axId val="52202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70"/>
        <c:crosses val="autoZero"/>
        <c:crossBetween val="midCat"/>
        <c:dispUnits/>
      </c:valAx>
      <c:valAx>
        <c:axId val="632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202813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Brackets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39"/>
          <c:w val="0.8925"/>
          <c:h val="0.77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11-14-00.xls'!$B$141:$B$151</c:f>
              <c:numCache/>
            </c:numRef>
          </c:xVal>
          <c:yVal>
            <c:numRef>
              <c:f>'Passive Structure 11-14-00.xls'!$C$141:$C$151</c:f>
              <c:numCache/>
            </c:numRef>
          </c:yVal>
          <c:smooth val="0"/>
        </c:ser>
        <c:axId val="569431"/>
        <c:axId val="5124880"/>
      </c:scatterChart>
      <c:valAx>
        <c:axId val="56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24880"/>
        <c:crosses val="autoZero"/>
        <c:crossBetween val="midCat"/>
        <c:dispUnits/>
      </c:valAx>
      <c:valAx>
        <c:axId val="512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9431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185"/>
          <c:w val="0.969"/>
          <c:h val="0.96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11-14-00.xls'!$E$252:$E$328</c:f>
              <c:numCache/>
            </c:numRef>
          </c:xVal>
          <c:yVal>
            <c:numRef>
              <c:f>'Passive Structure 11-14-00.xls'!$F$252:$F$328</c:f>
              <c:numCache/>
            </c:numRef>
          </c:yVal>
          <c:smooth val="0"/>
        </c:ser>
        <c:axId val="46123921"/>
        <c:axId val="12462106"/>
      </c:scatterChart>
      <c:valAx>
        <c:axId val="461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62106"/>
        <c:crosses val="autoZero"/>
        <c:crossBetween val="midCat"/>
        <c:dispUnits/>
      </c:valAx>
      <c:valAx>
        <c:axId val="12462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23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638175</xdr:colOff>
      <xdr:row>55</xdr:row>
      <xdr:rowOff>47625</xdr:rowOff>
    </xdr:from>
    <xdr:to>
      <xdr:col>22</xdr:col>
      <xdr:colOff>542925</xdr:colOff>
      <xdr:row>79</xdr:row>
      <xdr:rowOff>38100</xdr:rowOff>
    </xdr:to>
    <xdr:graphicFrame>
      <xdr:nvGraphicFramePr>
        <xdr:cNvPr id="1" name="Chart 4"/>
        <xdr:cNvGraphicFramePr/>
      </xdr:nvGraphicFramePr>
      <xdr:xfrm>
        <a:off x="11401425" y="9620250"/>
        <a:ext cx="40767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695325</xdr:colOff>
      <xdr:row>55</xdr:row>
      <xdr:rowOff>47625</xdr:rowOff>
    </xdr:from>
    <xdr:to>
      <xdr:col>26</xdr:col>
      <xdr:colOff>914400</xdr:colOff>
      <xdr:row>79</xdr:row>
      <xdr:rowOff>47625</xdr:rowOff>
    </xdr:to>
    <xdr:graphicFrame>
      <xdr:nvGraphicFramePr>
        <xdr:cNvPr id="2" name="Chart 5"/>
        <xdr:cNvGraphicFramePr/>
      </xdr:nvGraphicFramePr>
      <xdr:xfrm>
        <a:off x="15630525" y="9620250"/>
        <a:ext cx="39909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390525</xdr:colOff>
      <xdr:row>200</xdr:row>
      <xdr:rowOff>85725</xdr:rowOff>
    </xdr:from>
    <xdr:to>
      <xdr:col>15</xdr:col>
      <xdr:colOff>600075</xdr:colOff>
      <xdr:row>225</xdr:row>
      <xdr:rowOff>66675</xdr:rowOff>
    </xdr:to>
    <xdr:graphicFrame>
      <xdr:nvGraphicFramePr>
        <xdr:cNvPr id="3" name="Chart 8"/>
        <xdr:cNvGraphicFramePr/>
      </xdr:nvGraphicFramePr>
      <xdr:xfrm>
        <a:off x="8201025" y="37928550"/>
        <a:ext cx="2457450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390525</xdr:colOff>
      <xdr:row>199</xdr:row>
      <xdr:rowOff>85725</xdr:rowOff>
    </xdr:from>
    <xdr:to>
      <xdr:col>21</xdr:col>
      <xdr:colOff>438150</xdr:colOff>
      <xdr:row>225</xdr:row>
      <xdr:rowOff>238125</xdr:rowOff>
    </xdr:to>
    <xdr:graphicFrame>
      <xdr:nvGraphicFramePr>
        <xdr:cNvPr id="4" name="Chart 9"/>
        <xdr:cNvGraphicFramePr/>
      </xdr:nvGraphicFramePr>
      <xdr:xfrm>
        <a:off x="11858625" y="37766625"/>
        <a:ext cx="2571750" cy="584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857250</xdr:colOff>
      <xdr:row>86</xdr:row>
      <xdr:rowOff>314325</xdr:rowOff>
    </xdr:from>
    <xdr:to>
      <xdr:col>16</xdr:col>
      <xdr:colOff>76200</xdr:colOff>
      <xdr:row>101</xdr:row>
      <xdr:rowOff>9525</xdr:rowOff>
    </xdr:to>
    <xdr:graphicFrame>
      <xdr:nvGraphicFramePr>
        <xdr:cNvPr id="5" name="Chart 12"/>
        <xdr:cNvGraphicFramePr/>
      </xdr:nvGraphicFramePr>
      <xdr:xfrm>
        <a:off x="7077075" y="15735300"/>
        <a:ext cx="3762375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86</xdr:row>
      <xdr:rowOff>295275</xdr:rowOff>
    </xdr:from>
    <xdr:to>
      <xdr:col>9</xdr:col>
      <xdr:colOff>685800</xdr:colOff>
      <xdr:row>101</xdr:row>
      <xdr:rowOff>9525</xdr:rowOff>
    </xdr:to>
    <xdr:graphicFrame>
      <xdr:nvGraphicFramePr>
        <xdr:cNvPr id="6" name="Chart 13"/>
        <xdr:cNvGraphicFramePr/>
      </xdr:nvGraphicFramePr>
      <xdr:xfrm>
        <a:off x="3248025" y="15716250"/>
        <a:ext cx="36576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552450</xdr:colOff>
      <xdr:row>152</xdr:row>
      <xdr:rowOff>457200</xdr:rowOff>
    </xdr:from>
    <xdr:to>
      <xdr:col>17</xdr:col>
      <xdr:colOff>314325</xdr:colOff>
      <xdr:row>173</xdr:row>
      <xdr:rowOff>9525</xdr:rowOff>
    </xdr:to>
    <xdr:graphicFrame>
      <xdr:nvGraphicFramePr>
        <xdr:cNvPr id="7" name="Chart 14"/>
        <xdr:cNvGraphicFramePr/>
      </xdr:nvGraphicFramePr>
      <xdr:xfrm>
        <a:off x="7762875" y="29537025"/>
        <a:ext cx="4019550" cy="3781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657225</xdr:colOff>
      <xdr:row>152</xdr:row>
      <xdr:rowOff>457200</xdr:rowOff>
    </xdr:from>
    <xdr:to>
      <xdr:col>10</xdr:col>
      <xdr:colOff>171450</xdr:colOff>
      <xdr:row>173</xdr:row>
      <xdr:rowOff>85725</xdr:rowOff>
    </xdr:to>
    <xdr:graphicFrame>
      <xdr:nvGraphicFramePr>
        <xdr:cNvPr id="8" name="Chart 15"/>
        <xdr:cNvGraphicFramePr/>
      </xdr:nvGraphicFramePr>
      <xdr:xfrm>
        <a:off x="3876675" y="29537025"/>
        <a:ext cx="35052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285750</xdr:colOff>
      <xdr:row>245</xdr:row>
      <xdr:rowOff>66675</xdr:rowOff>
    </xdr:from>
    <xdr:to>
      <xdr:col>26</xdr:col>
      <xdr:colOff>619125</xdr:colOff>
      <xdr:row>279</xdr:row>
      <xdr:rowOff>38100</xdr:rowOff>
    </xdr:to>
    <xdr:graphicFrame>
      <xdr:nvGraphicFramePr>
        <xdr:cNvPr id="9" name="Chart 17"/>
        <xdr:cNvGraphicFramePr/>
      </xdr:nvGraphicFramePr>
      <xdr:xfrm>
        <a:off x="13649325" y="47348775"/>
        <a:ext cx="5676900" cy="5476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8"/>
  <sheetViews>
    <sheetView tabSelected="1" workbookViewId="0" topLeftCell="D266">
      <selection activeCell="O296" sqref="O296"/>
    </sheetView>
  </sheetViews>
  <sheetFormatPr defaultColWidth="11.00390625" defaultRowHeight="12.75"/>
  <cols>
    <col min="1" max="1" width="12.75390625" style="0" customWidth="1"/>
    <col min="2" max="3" width="8.25390625" style="0" customWidth="1"/>
    <col min="4" max="4" width="13.00390625" style="2" customWidth="1"/>
    <col min="5" max="5" width="12.00390625" style="0" customWidth="1"/>
    <col min="6" max="8" width="7.00390625" style="0" customWidth="1"/>
    <col min="9" max="9" width="6.375" style="1" customWidth="1"/>
    <col min="10" max="10" width="13.00390625" style="1" customWidth="1"/>
    <col min="11" max="11" width="7.875" style="1" customWidth="1"/>
    <col min="12" max="12" width="6.375" style="1" customWidth="1"/>
    <col min="13" max="13" width="8.375" style="1" customWidth="1"/>
    <col min="14" max="14" width="6.375" style="1" customWidth="1"/>
    <col min="15" max="15" width="8.375" style="4" customWidth="1"/>
    <col min="16" max="16" width="9.25390625" style="1" customWidth="1"/>
    <col min="17" max="17" width="9.25390625" style="4" customWidth="1"/>
    <col min="18" max="19" width="8.25390625" style="0" customWidth="1"/>
    <col min="20" max="20" width="8.375" style="0" customWidth="1"/>
    <col min="21" max="21" width="8.25390625" style="4" customWidth="1"/>
    <col min="22" max="16384" width="12.375" style="0" customWidth="1"/>
  </cols>
  <sheetData>
    <row r="1" spans="2:4" ht="12.75">
      <c r="B1" t="s">
        <v>57</v>
      </c>
      <c r="C1" s="4">
        <v>7.7E-07</v>
      </c>
      <c r="D1" s="2" t="s">
        <v>58</v>
      </c>
    </row>
    <row r="2" spans="2:4" ht="12.75">
      <c r="B2" t="s">
        <v>59</v>
      </c>
      <c r="C2" s="4">
        <v>1.3E-06</v>
      </c>
      <c r="D2" s="2" t="s">
        <v>58</v>
      </c>
    </row>
    <row r="3" spans="2:4" ht="12.75">
      <c r="B3" t="s">
        <v>60</v>
      </c>
      <c r="C3" s="4">
        <v>1.724E-08</v>
      </c>
      <c r="D3" s="2" t="s">
        <v>58</v>
      </c>
    </row>
    <row r="4" ht="12.75">
      <c r="C4" s="4"/>
    </row>
    <row r="5" spans="1:3" ht="12.75">
      <c r="A5" t="s">
        <v>61</v>
      </c>
      <c r="B5">
        <v>14</v>
      </c>
      <c r="C5" s="4"/>
    </row>
    <row r="6" spans="1:3" ht="12.75">
      <c r="A6" t="s">
        <v>62</v>
      </c>
      <c r="B6">
        <f>5/8</f>
        <v>0.625</v>
      </c>
      <c r="C6" s="4"/>
    </row>
    <row r="7" spans="1:6" ht="12.75">
      <c r="A7" t="s">
        <v>63</v>
      </c>
      <c r="B7">
        <f>B5+B6/2</f>
        <v>14.3125</v>
      </c>
      <c r="C7" s="4"/>
      <c r="F7" t="s">
        <v>64</v>
      </c>
    </row>
    <row r="8" spans="1:3" ht="12.75">
      <c r="A8" t="s">
        <v>65</v>
      </c>
      <c r="B8">
        <v>100.8</v>
      </c>
      <c r="C8" s="4"/>
    </row>
    <row r="9" spans="1:3" ht="12.75">
      <c r="A9" t="s">
        <v>66</v>
      </c>
      <c r="B9">
        <f>5/8</f>
        <v>0.625</v>
      </c>
      <c r="C9" s="4"/>
    </row>
    <row r="10" spans="1:3" ht="12.75">
      <c r="A10" t="s">
        <v>67</v>
      </c>
      <c r="B10">
        <f>B8+B9/2</f>
        <v>101.1125</v>
      </c>
      <c r="C10" s="4"/>
    </row>
    <row r="11" spans="1:3" ht="12.75">
      <c r="A11" t="s">
        <v>68</v>
      </c>
      <c r="B11">
        <f>133/2</f>
        <v>66.5</v>
      </c>
      <c r="C11" s="4"/>
    </row>
    <row r="12" spans="1:3" ht="12.75">
      <c r="A12" t="s">
        <v>69</v>
      </c>
      <c r="B12">
        <f>5/8</f>
        <v>0.625</v>
      </c>
      <c r="C12" s="4"/>
    </row>
    <row r="13" spans="1:3" ht="12.75">
      <c r="A13" t="s">
        <v>70</v>
      </c>
      <c r="B13">
        <f>B11+B12/2</f>
        <v>66.8125</v>
      </c>
      <c r="C13" s="4"/>
    </row>
    <row r="14" spans="1:3" ht="12.75">
      <c r="A14" t="s">
        <v>71</v>
      </c>
      <c r="B14">
        <f>(74+2*1.5)/2</f>
        <v>38.5</v>
      </c>
      <c r="C14" s="4"/>
    </row>
    <row r="15" spans="1:3" ht="12.75">
      <c r="A15" t="s">
        <v>72</v>
      </c>
      <c r="B15">
        <f>B14+rad1*COS(B16*PI()/180)</f>
        <v>49.897730733570775</v>
      </c>
      <c r="C15" s="4"/>
    </row>
    <row r="16" spans="1:3" ht="12.75">
      <c r="A16" t="s">
        <v>73</v>
      </c>
      <c r="B16">
        <f>180/PI()*ASIN((B13-B7)/(B10-B7))</f>
        <v>37.217236439084616</v>
      </c>
      <c r="C16" s="4"/>
    </row>
    <row r="17" spans="1:3" ht="12.75">
      <c r="A17" t="s">
        <v>74</v>
      </c>
      <c r="B17">
        <f>90-B16</f>
        <v>52.782763560915384</v>
      </c>
      <c r="C17" s="4"/>
    </row>
    <row r="18" spans="1:3" ht="12.75">
      <c r="A18" t="s">
        <v>75</v>
      </c>
      <c r="B18">
        <f>B14</f>
        <v>38.5</v>
      </c>
      <c r="C18" s="4"/>
    </row>
    <row r="19" spans="1:3" ht="12.75">
      <c r="A19" t="s">
        <v>76</v>
      </c>
      <c r="B19">
        <v>8</v>
      </c>
      <c r="C19" s="4"/>
    </row>
    <row r="20" spans="1:3" ht="12.75">
      <c r="A20" t="s">
        <v>77</v>
      </c>
      <c r="B20">
        <f>B18/B19</f>
        <v>4.8125</v>
      </c>
      <c r="C20" s="4"/>
    </row>
    <row r="21" spans="1:3" ht="12.75">
      <c r="A21" t="s">
        <v>78</v>
      </c>
      <c r="B21">
        <f>gamma/360*2*PI()*B7</f>
        <v>13.185147490542635</v>
      </c>
      <c r="C21" s="4"/>
    </row>
    <row r="22" spans="1:3" ht="12.75">
      <c r="A22" t="s">
        <v>79</v>
      </c>
      <c r="B22">
        <v>3</v>
      </c>
      <c r="C22" s="4"/>
    </row>
    <row r="23" spans="1:3" ht="12.75">
      <c r="A23" t="s">
        <v>80</v>
      </c>
      <c r="B23">
        <f>B21/B22</f>
        <v>4.395049163514211</v>
      </c>
      <c r="C23" s="4"/>
    </row>
    <row r="24" spans="1:3" ht="12.75">
      <c r="A24" t="s">
        <v>81</v>
      </c>
      <c r="B24">
        <f>th/360*2*PI()*B10</f>
        <v>65.67897062274386</v>
      </c>
      <c r="C24" s="4"/>
    </row>
    <row r="25" spans="1:3" ht="12.75">
      <c r="A25" t="s">
        <v>82</v>
      </c>
      <c r="B25">
        <v>13</v>
      </c>
      <c r="C25" s="4"/>
    </row>
    <row r="26" spans="1:3" ht="12.75">
      <c r="A26" t="s">
        <v>83</v>
      </c>
      <c r="B26">
        <f>B24/B25</f>
        <v>5.052228509441836</v>
      </c>
      <c r="C26" s="4"/>
    </row>
    <row r="27" spans="1:3" ht="12.75">
      <c r="A27" t="s">
        <v>84</v>
      </c>
      <c r="B27">
        <f>B19+B22+B25</f>
        <v>24</v>
      </c>
      <c r="C27" s="4"/>
    </row>
    <row r="28" spans="1:27" s="2" customFormat="1" ht="39" customHeight="1">
      <c r="A28" s="2" t="s">
        <v>85</v>
      </c>
      <c r="B28" s="2" t="s">
        <v>86</v>
      </c>
      <c r="C28" s="2" t="s">
        <v>87</v>
      </c>
      <c r="D28" s="2" t="s">
        <v>85</v>
      </c>
      <c r="E28" s="2" t="s">
        <v>86</v>
      </c>
      <c r="F28" s="2" t="s">
        <v>87</v>
      </c>
      <c r="G28" s="2" t="s">
        <v>88</v>
      </c>
      <c r="H28" s="2" t="s">
        <v>85</v>
      </c>
      <c r="I28" s="2" t="s">
        <v>89</v>
      </c>
      <c r="J28" s="3" t="s">
        <v>90</v>
      </c>
      <c r="K28" s="3" t="s">
        <v>91</v>
      </c>
      <c r="L28" s="3" t="s">
        <v>92</v>
      </c>
      <c r="M28" s="3" t="s">
        <v>93</v>
      </c>
      <c r="N28" s="3" t="s">
        <v>94</v>
      </c>
      <c r="O28" s="3" t="s">
        <v>95</v>
      </c>
      <c r="P28" s="5" t="s">
        <v>96</v>
      </c>
      <c r="Q28" s="3" t="s">
        <v>97</v>
      </c>
      <c r="R28" s="5" t="s">
        <v>98</v>
      </c>
      <c r="S28" s="14"/>
      <c r="T28" s="15" t="s">
        <v>99</v>
      </c>
      <c r="U28" s="15" t="s">
        <v>100</v>
      </c>
      <c r="V28" s="14" t="s">
        <v>101</v>
      </c>
      <c r="W28" s="15" t="s">
        <v>102</v>
      </c>
      <c r="X28" s="15" t="s">
        <v>103</v>
      </c>
      <c r="Y28" s="15" t="s">
        <v>104</v>
      </c>
      <c r="Z28" s="15" t="s">
        <v>105</v>
      </c>
      <c r="AA28" s="15" t="s">
        <v>106</v>
      </c>
    </row>
    <row r="29" spans="2:27" s="2" customFormat="1" ht="39" customHeight="1">
      <c r="B29" s="2" t="s">
        <v>107</v>
      </c>
      <c r="C29" s="2" t="s">
        <v>107</v>
      </c>
      <c r="D29" s="2" t="s">
        <v>64</v>
      </c>
      <c r="E29" s="2" t="s">
        <v>107</v>
      </c>
      <c r="F29" s="2" t="s">
        <v>107</v>
      </c>
      <c r="G29" s="2" t="s">
        <v>108</v>
      </c>
      <c r="H29" s="2" t="s">
        <v>64</v>
      </c>
      <c r="I29" s="2" t="s">
        <v>107</v>
      </c>
      <c r="J29" s="2" t="s">
        <v>109</v>
      </c>
      <c r="K29" s="2" t="s">
        <v>107</v>
      </c>
      <c r="L29" s="2" t="s">
        <v>107</v>
      </c>
      <c r="M29" s="2" t="s">
        <v>107</v>
      </c>
      <c r="N29" s="2" t="s">
        <v>107</v>
      </c>
      <c r="O29" s="2" t="s">
        <v>107</v>
      </c>
      <c r="P29" s="5" t="s">
        <v>107</v>
      </c>
      <c r="Q29" s="3" t="s">
        <v>110</v>
      </c>
      <c r="R29" s="5" t="s">
        <v>111</v>
      </c>
      <c r="S29" s="16"/>
      <c r="T29" s="15" t="s">
        <v>112</v>
      </c>
      <c r="U29" s="15" t="s">
        <v>113</v>
      </c>
      <c r="V29" s="14" t="s">
        <v>113</v>
      </c>
      <c r="W29" s="15" t="s">
        <v>113</v>
      </c>
      <c r="X29" s="15" t="s">
        <v>114</v>
      </c>
      <c r="Y29" s="15" t="s">
        <v>114</v>
      </c>
      <c r="Z29" s="15" t="s">
        <v>114</v>
      </c>
      <c r="AA29" s="15" t="s">
        <v>115</v>
      </c>
    </row>
    <row r="30" spans="1:27" ht="12.75">
      <c r="A30">
        <v>1</v>
      </c>
      <c r="B30" s="1">
        <f>B13</f>
        <v>66.8125</v>
      </c>
      <c r="C30" s="1">
        <v>0</v>
      </c>
      <c r="D30" s="2">
        <f aca="true" t="shared" si="0" ref="D30:D53">A30+1</f>
        <v>2</v>
      </c>
      <c r="E30" s="1">
        <f aca="true" t="shared" si="1" ref="E30:E37">B30</f>
        <v>66.8125</v>
      </c>
      <c r="F30" s="1">
        <f aca="true" t="shared" si="2" ref="F30:F37">C30+dlone</f>
        <v>4.8125</v>
      </c>
      <c r="G30" s="1">
        <v>0</v>
      </c>
      <c r="H30">
        <v>1</v>
      </c>
      <c r="I30" s="1">
        <f aca="true" t="shared" si="3" ref="I30:I53">SQRT((B30-E30)^2+(C30-F30)^2)</f>
        <v>4.8125</v>
      </c>
      <c r="J30" s="1">
        <f aca="true" t="shared" si="4" ref="J30:J53">ASIN(ABS(B30-E30)/I30)</f>
        <v>0</v>
      </c>
      <c r="K30" s="1">
        <f aca="true" t="shared" si="5" ref="K30:K53">I30/2*SIN(J30)</f>
        <v>0</v>
      </c>
      <c r="L30" s="1">
        <f aca="true" t="shared" si="6" ref="L30:L53">-I30/2*COS(J30)</f>
        <v>-2.40625</v>
      </c>
      <c r="M30" s="1">
        <f aca="true" t="shared" si="7" ref="M30:M53">MIN(B30,E30)+K30</f>
        <v>66.8125</v>
      </c>
      <c r="N30" s="1">
        <f aca="true" t="shared" si="8" ref="N30:N53">MAX(C30,F30)+L30</f>
        <v>2.40625</v>
      </c>
      <c r="O30" s="1">
        <f>5/8</f>
        <v>0.625</v>
      </c>
      <c r="P30" s="4">
        <f aca="true" t="shared" si="9" ref="P30:P53">2*PI()*M30</f>
        <v>419.7953183359361</v>
      </c>
      <c r="Q30" s="1">
        <f aca="true" t="shared" si="10" ref="Q30:Q53">I30*O30</f>
        <v>3.0078125</v>
      </c>
      <c r="R30" s="4">
        <f aca="true" t="shared" si="11" ref="R30:R53">resss*100/2.54*P30/Q30</f>
        <v>0.004231007932834632</v>
      </c>
      <c r="S30" s="17">
        <f aca="true" t="shared" si="12" ref="S30:S52">A30</f>
        <v>1</v>
      </c>
      <c r="T30" s="13">
        <v>9.6</v>
      </c>
      <c r="U30" s="11">
        <v>0.06</v>
      </c>
      <c r="V30" s="18">
        <v>0.3</v>
      </c>
      <c r="W30" s="11">
        <f aca="true" t="shared" si="13" ref="W30:W52">SQRT(U30^2+V30^2)</f>
        <v>0.30594117081556715</v>
      </c>
      <c r="X30" s="19">
        <f aca="true" t="shared" si="14" ref="X30:X52">T30*1000*P30*2.54/100*U30*0.2248</f>
        <v>1380.6706660258915</v>
      </c>
      <c r="Y30" s="19">
        <f aca="true" t="shared" si="15" ref="Y30:Y52">T30*1000*P30*2.54/100*V30*0.2248</f>
        <v>6903.3533301294565</v>
      </c>
      <c r="Z30" s="19">
        <f aca="true" t="shared" si="16" ref="Z30:Z52">T30*1000*P30*2.54/100*W30*0.2248</f>
        <v>7040.066667911168</v>
      </c>
      <c r="AA30" s="19">
        <f aca="true" t="shared" si="17" ref="AA30:AA52">Z30/(I30*P30)</f>
        <v>3.4847244169572864</v>
      </c>
    </row>
    <row r="31" spans="1:27" ht="12.75">
      <c r="A31">
        <f aca="true" t="shared" si="18" ref="A31:A53">A30+1</f>
        <v>2</v>
      </c>
      <c r="B31" s="1">
        <f aca="true" t="shared" si="19" ref="B31:B53">E30</f>
        <v>66.8125</v>
      </c>
      <c r="C31" s="1">
        <f aca="true" t="shared" si="20" ref="C31:C53">F30</f>
        <v>4.8125</v>
      </c>
      <c r="D31" s="2">
        <f t="shared" si="0"/>
        <v>3</v>
      </c>
      <c r="E31" s="1">
        <f t="shared" si="1"/>
        <v>66.8125</v>
      </c>
      <c r="F31" s="1">
        <f t="shared" si="2"/>
        <v>9.625</v>
      </c>
      <c r="G31" s="1">
        <v>0</v>
      </c>
      <c r="H31">
        <f aca="true" t="shared" si="21" ref="H31:H53">H30+1</f>
        <v>2</v>
      </c>
      <c r="I31" s="1">
        <f t="shared" si="3"/>
        <v>4.8125</v>
      </c>
      <c r="J31" s="1">
        <f t="shared" si="4"/>
        <v>0</v>
      </c>
      <c r="K31" s="1">
        <f t="shared" si="5"/>
        <v>0</v>
      </c>
      <c r="L31" s="1">
        <f t="shared" si="6"/>
        <v>-2.40625</v>
      </c>
      <c r="M31" s="1">
        <f t="shared" si="7"/>
        <v>66.8125</v>
      </c>
      <c r="N31" s="1">
        <f t="shared" si="8"/>
        <v>7.21875</v>
      </c>
      <c r="O31" s="1">
        <f aca="true" t="shared" si="22" ref="O31:O53">O30</f>
        <v>0.625</v>
      </c>
      <c r="P31" s="4">
        <f t="shared" si="9"/>
        <v>419.7953183359361</v>
      </c>
      <c r="Q31" s="1">
        <f t="shared" si="10"/>
        <v>3.0078125</v>
      </c>
      <c r="R31" s="4">
        <f t="shared" si="11"/>
        <v>0.004231007932834632</v>
      </c>
      <c r="S31" s="17">
        <f t="shared" si="12"/>
        <v>2</v>
      </c>
      <c r="T31" s="13">
        <v>9.6</v>
      </c>
      <c r="U31" s="11">
        <v>0.06</v>
      </c>
      <c r="V31" s="18">
        <v>0.3</v>
      </c>
      <c r="W31" s="11">
        <f t="shared" si="13"/>
        <v>0.30594117081556715</v>
      </c>
      <c r="X31" s="19">
        <f t="shared" si="14"/>
        <v>1380.6706660258915</v>
      </c>
      <c r="Y31" s="19">
        <f t="shared" si="15"/>
        <v>6903.3533301294565</v>
      </c>
      <c r="Z31" s="19">
        <f t="shared" si="16"/>
        <v>7040.066667911168</v>
      </c>
      <c r="AA31" s="19">
        <f t="shared" si="17"/>
        <v>3.4847244169572864</v>
      </c>
    </row>
    <row r="32" spans="1:27" ht="12.75">
      <c r="A32">
        <f t="shared" si="18"/>
        <v>3</v>
      </c>
      <c r="B32" s="1">
        <f t="shared" si="19"/>
        <v>66.8125</v>
      </c>
      <c r="C32" s="1">
        <f t="shared" si="20"/>
        <v>9.625</v>
      </c>
      <c r="D32" s="2">
        <f t="shared" si="0"/>
        <v>4</v>
      </c>
      <c r="E32" s="1">
        <f t="shared" si="1"/>
        <v>66.8125</v>
      </c>
      <c r="F32" s="1">
        <f t="shared" si="2"/>
        <v>14.4375</v>
      </c>
      <c r="G32" s="1">
        <v>0</v>
      </c>
      <c r="H32">
        <f t="shared" si="21"/>
        <v>3</v>
      </c>
      <c r="I32" s="1">
        <f t="shared" si="3"/>
        <v>4.8125</v>
      </c>
      <c r="J32" s="1">
        <f t="shared" si="4"/>
        <v>0</v>
      </c>
      <c r="K32" s="1">
        <f t="shared" si="5"/>
        <v>0</v>
      </c>
      <c r="L32" s="1">
        <f t="shared" si="6"/>
        <v>-2.40625</v>
      </c>
      <c r="M32" s="1">
        <f t="shared" si="7"/>
        <v>66.8125</v>
      </c>
      <c r="N32" s="1">
        <f t="shared" si="8"/>
        <v>12.03125</v>
      </c>
      <c r="O32" s="1">
        <f t="shared" si="22"/>
        <v>0.625</v>
      </c>
      <c r="P32" s="4">
        <f t="shared" si="9"/>
        <v>419.7953183359361</v>
      </c>
      <c r="Q32" s="1">
        <f t="shared" si="10"/>
        <v>3.0078125</v>
      </c>
      <c r="R32" s="4">
        <f t="shared" si="11"/>
        <v>0.004231007932834632</v>
      </c>
      <c r="S32" s="17">
        <f t="shared" si="12"/>
        <v>3</v>
      </c>
      <c r="T32" s="13">
        <v>9.4</v>
      </c>
      <c r="U32" s="11">
        <v>0.09</v>
      </c>
      <c r="V32" s="18">
        <v>0.3</v>
      </c>
      <c r="W32" s="11">
        <f t="shared" si="13"/>
        <v>0.3132091952673165</v>
      </c>
      <c r="X32" s="19">
        <f t="shared" si="14"/>
        <v>2027.8600407255278</v>
      </c>
      <c r="Y32" s="19">
        <f t="shared" si="15"/>
        <v>6759.533469085093</v>
      </c>
      <c r="Z32" s="19">
        <f t="shared" si="16"/>
        <v>7057.160127448781</v>
      </c>
      <c r="AA32" s="19">
        <f t="shared" si="17"/>
        <v>3.493185415784541</v>
      </c>
    </row>
    <row r="33" spans="1:27" ht="12.75">
      <c r="A33">
        <f t="shared" si="18"/>
        <v>4</v>
      </c>
      <c r="B33" s="1">
        <f t="shared" si="19"/>
        <v>66.8125</v>
      </c>
      <c r="C33" s="1">
        <f t="shared" si="20"/>
        <v>14.4375</v>
      </c>
      <c r="D33" s="2">
        <f t="shared" si="0"/>
        <v>5</v>
      </c>
      <c r="E33" s="1">
        <f t="shared" si="1"/>
        <v>66.8125</v>
      </c>
      <c r="F33" s="1">
        <f t="shared" si="2"/>
        <v>19.25</v>
      </c>
      <c r="G33" s="1">
        <v>0</v>
      </c>
      <c r="H33">
        <f t="shared" si="21"/>
        <v>4</v>
      </c>
      <c r="I33" s="1">
        <f t="shared" si="3"/>
        <v>4.8125</v>
      </c>
      <c r="J33" s="1">
        <f t="shared" si="4"/>
        <v>0</v>
      </c>
      <c r="K33" s="1">
        <f t="shared" si="5"/>
        <v>0</v>
      </c>
      <c r="L33" s="1">
        <f t="shared" si="6"/>
        <v>-2.40625</v>
      </c>
      <c r="M33" s="1">
        <f t="shared" si="7"/>
        <v>66.8125</v>
      </c>
      <c r="N33" s="1">
        <f t="shared" si="8"/>
        <v>16.84375</v>
      </c>
      <c r="O33" s="1">
        <f t="shared" si="22"/>
        <v>0.625</v>
      </c>
      <c r="P33" s="4">
        <f t="shared" si="9"/>
        <v>419.7953183359361</v>
      </c>
      <c r="Q33" s="1">
        <f t="shared" si="10"/>
        <v>3.0078125</v>
      </c>
      <c r="R33" s="4">
        <f t="shared" si="11"/>
        <v>0.004231007932834632</v>
      </c>
      <c r="S33" s="17">
        <f t="shared" si="12"/>
        <v>4</v>
      </c>
      <c r="T33" s="13">
        <v>8.9</v>
      </c>
      <c r="U33" s="11">
        <v>0.09</v>
      </c>
      <c r="V33" s="18">
        <v>0.3</v>
      </c>
      <c r="W33" s="11">
        <f t="shared" si="13"/>
        <v>0.3132091952673165</v>
      </c>
      <c r="X33" s="19">
        <f t="shared" si="14"/>
        <v>1919.9951449422554</v>
      </c>
      <c r="Y33" s="19">
        <f t="shared" si="15"/>
        <v>6399.983816474184</v>
      </c>
      <c r="Z33" s="19">
        <f t="shared" si="16"/>
        <v>6681.77926960576</v>
      </c>
      <c r="AA33" s="19">
        <f t="shared" si="17"/>
        <v>3.3073776809023845</v>
      </c>
    </row>
    <row r="34" spans="1:27" ht="12.75">
      <c r="A34">
        <f t="shared" si="18"/>
        <v>5</v>
      </c>
      <c r="B34" s="1">
        <f t="shared" si="19"/>
        <v>66.8125</v>
      </c>
      <c r="C34" s="1">
        <f t="shared" si="20"/>
        <v>19.25</v>
      </c>
      <c r="D34" s="2">
        <f t="shared" si="0"/>
        <v>6</v>
      </c>
      <c r="E34" s="1">
        <f t="shared" si="1"/>
        <v>66.8125</v>
      </c>
      <c r="F34" s="1">
        <f t="shared" si="2"/>
        <v>24.0625</v>
      </c>
      <c r="G34" s="1">
        <v>0</v>
      </c>
      <c r="H34">
        <f t="shared" si="21"/>
        <v>5</v>
      </c>
      <c r="I34" s="1">
        <f t="shared" si="3"/>
        <v>4.8125</v>
      </c>
      <c r="J34" s="1">
        <f t="shared" si="4"/>
        <v>0</v>
      </c>
      <c r="K34" s="1">
        <f t="shared" si="5"/>
        <v>0</v>
      </c>
      <c r="L34" s="1">
        <f t="shared" si="6"/>
        <v>-2.40625</v>
      </c>
      <c r="M34" s="1">
        <f t="shared" si="7"/>
        <v>66.8125</v>
      </c>
      <c r="N34" s="1">
        <f t="shared" si="8"/>
        <v>21.65625</v>
      </c>
      <c r="O34" s="1">
        <f t="shared" si="22"/>
        <v>0.625</v>
      </c>
      <c r="P34" s="4">
        <f t="shared" si="9"/>
        <v>419.7953183359361</v>
      </c>
      <c r="Q34" s="1">
        <f t="shared" si="10"/>
        <v>3.0078125</v>
      </c>
      <c r="R34" s="4">
        <f t="shared" si="11"/>
        <v>0.004231007932834632</v>
      </c>
      <c r="S34" s="17">
        <f t="shared" si="12"/>
        <v>5</v>
      </c>
      <c r="T34" s="13">
        <v>8.2</v>
      </c>
      <c r="U34" s="11">
        <v>0.14</v>
      </c>
      <c r="V34" s="18">
        <v>0.56</v>
      </c>
      <c r="W34" s="11">
        <f t="shared" si="13"/>
        <v>0.5772347875864725</v>
      </c>
      <c r="X34" s="19">
        <f t="shared" si="14"/>
        <v>2751.7533413154924</v>
      </c>
      <c r="Y34" s="19">
        <f t="shared" si="15"/>
        <v>11007.01336526197</v>
      </c>
      <c r="Z34" s="19">
        <f t="shared" si="16"/>
        <v>11345.769681890102</v>
      </c>
      <c r="AA34" s="19">
        <f t="shared" si="17"/>
        <v>5.61598099913832</v>
      </c>
    </row>
    <row r="35" spans="1:27" ht="12.75">
      <c r="A35">
        <f t="shared" si="18"/>
        <v>6</v>
      </c>
      <c r="B35" s="1">
        <f t="shared" si="19"/>
        <v>66.8125</v>
      </c>
      <c r="C35" s="1">
        <f t="shared" si="20"/>
        <v>24.0625</v>
      </c>
      <c r="D35" s="2">
        <f t="shared" si="0"/>
        <v>7</v>
      </c>
      <c r="E35" s="1">
        <f t="shared" si="1"/>
        <v>66.8125</v>
      </c>
      <c r="F35" s="1">
        <f t="shared" si="2"/>
        <v>28.875</v>
      </c>
      <c r="G35" s="1">
        <v>0</v>
      </c>
      <c r="H35">
        <f t="shared" si="21"/>
        <v>6</v>
      </c>
      <c r="I35" s="1">
        <f t="shared" si="3"/>
        <v>4.8125</v>
      </c>
      <c r="J35" s="1">
        <f t="shared" si="4"/>
        <v>0</v>
      </c>
      <c r="K35" s="1">
        <f t="shared" si="5"/>
        <v>0</v>
      </c>
      <c r="L35" s="1">
        <f t="shared" si="6"/>
        <v>-2.40625</v>
      </c>
      <c r="M35" s="1">
        <f t="shared" si="7"/>
        <v>66.8125</v>
      </c>
      <c r="N35" s="1">
        <f t="shared" si="8"/>
        <v>26.46875</v>
      </c>
      <c r="O35" s="1">
        <f t="shared" si="22"/>
        <v>0.625</v>
      </c>
      <c r="P35" s="4">
        <f t="shared" si="9"/>
        <v>419.7953183359361</v>
      </c>
      <c r="Q35" s="1">
        <f t="shared" si="10"/>
        <v>3.0078125</v>
      </c>
      <c r="R35" s="4">
        <f t="shared" si="11"/>
        <v>0.004231007932834632</v>
      </c>
      <c r="S35" s="17">
        <f t="shared" si="12"/>
        <v>6</v>
      </c>
      <c r="T35" s="13">
        <v>7.5</v>
      </c>
      <c r="U35" s="11">
        <v>0.14</v>
      </c>
      <c r="V35" s="18">
        <v>0.56</v>
      </c>
      <c r="W35" s="11">
        <f t="shared" si="13"/>
        <v>0.5772347875864725</v>
      </c>
      <c r="X35" s="19">
        <f t="shared" si="14"/>
        <v>2516.8475682763647</v>
      </c>
      <c r="Y35" s="19">
        <f t="shared" si="15"/>
        <v>10067.390273105459</v>
      </c>
      <c r="Z35" s="19">
        <f t="shared" si="16"/>
        <v>10377.228367582407</v>
      </c>
      <c r="AA35" s="19">
        <f t="shared" si="17"/>
        <v>5.136567987016754</v>
      </c>
    </row>
    <row r="36" spans="1:27" ht="12.75">
      <c r="A36">
        <f t="shared" si="18"/>
        <v>7</v>
      </c>
      <c r="B36" s="1">
        <f t="shared" si="19"/>
        <v>66.8125</v>
      </c>
      <c r="C36" s="1">
        <f t="shared" si="20"/>
        <v>28.875</v>
      </c>
      <c r="D36" s="2">
        <f t="shared" si="0"/>
        <v>8</v>
      </c>
      <c r="E36" s="1">
        <f t="shared" si="1"/>
        <v>66.8125</v>
      </c>
      <c r="F36" s="1">
        <f t="shared" si="2"/>
        <v>33.6875</v>
      </c>
      <c r="G36" s="1">
        <v>0</v>
      </c>
      <c r="H36">
        <f t="shared" si="21"/>
        <v>7</v>
      </c>
      <c r="I36" s="1">
        <f t="shared" si="3"/>
        <v>4.8125</v>
      </c>
      <c r="J36" s="1">
        <f t="shared" si="4"/>
        <v>0</v>
      </c>
      <c r="K36" s="1">
        <f t="shared" si="5"/>
        <v>0</v>
      </c>
      <c r="L36" s="1">
        <f t="shared" si="6"/>
        <v>-2.40625</v>
      </c>
      <c r="M36" s="1">
        <f t="shared" si="7"/>
        <v>66.8125</v>
      </c>
      <c r="N36" s="1">
        <f t="shared" si="8"/>
        <v>31.28125</v>
      </c>
      <c r="O36" s="1">
        <f t="shared" si="22"/>
        <v>0.625</v>
      </c>
      <c r="P36" s="4">
        <f t="shared" si="9"/>
        <v>419.7953183359361</v>
      </c>
      <c r="Q36" s="1">
        <f t="shared" si="10"/>
        <v>3.0078125</v>
      </c>
      <c r="R36" s="4">
        <f t="shared" si="11"/>
        <v>0.004231007932834632</v>
      </c>
      <c r="S36" s="17">
        <f t="shared" si="12"/>
        <v>7</v>
      </c>
      <c r="T36" s="13">
        <v>6.9</v>
      </c>
      <c r="U36" s="11">
        <v>0.22</v>
      </c>
      <c r="V36" s="18">
        <v>0.56</v>
      </c>
      <c r="W36" s="11">
        <f t="shared" si="13"/>
        <v>0.601664358259653</v>
      </c>
      <c r="X36" s="19">
        <f t="shared" si="14"/>
        <v>3638.6424844224016</v>
      </c>
      <c r="Y36" s="19">
        <f t="shared" si="15"/>
        <v>9261.999051257024</v>
      </c>
      <c r="Z36" s="19">
        <f t="shared" si="16"/>
        <v>9951.097706028699</v>
      </c>
      <c r="AA36" s="19">
        <f t="shared" si="17"/>
        <v>4.925639882045987</v>
      </c>
    </row>
    <row r="37" spans="1:27" ht="12.75">
      <c r="A37">
        <f t="shared" si="18"/>
        <v>8</v>
      </c>
      <c r="B37" s="1">
        <f t="shared" si="19"/>
        <v>66.8125</v>
      </c>
      <c r="C37" s="1">
        <f t="shared" si="20"/>
        <v>33.6875</v>
      </c>
      <c r="D37" s="2">
        <f t="shared" si="0"/>
        <v>9</v>
      </c>
      <c r="E37" s="1">
        <f t="shared" si="1"/>
        <v>66.8125</v>
      </c>
      <c r="F37" s="1">
        <f t="shared" si="2"/>
        <v>38.5</v>
      </c>
      <c r="G37" s="1">
        <v>0</v>
      </c>
      <c r="H37">
        <f t="shared" si="21"/>
        <v>8</v>
      </c>
      <c r="I37" s="1">
        <f t="shared" si="3"/>
        <v>4.8125</v>
      </c>
      <c r="J37" s="1">
        <f t="shared" si="4"/>
        <v>0</v>
      </c>
      <c r="K37" s="1">
        <f t="shared" si="5"/>
        <v>0</v>
      </c>
      <c r="L37" s="1">
        <f t="shared" si="6"/>
        <v>-2.40625</v>
      </c>
      <c r="M37" s="1">
        <f t="shared" si="7"/>
        <v>66.8125</v>
      </c>
      <c r="N37" s="1">
        <f t="shared" si="8"/>
        <v>36.09375</v>
      </c>
      <c r="O37" s="1">
        <f t="shared" si="22"/>
        <v>0.625</v>
      </c>
      <c r="P37" s="4">
        <f t="shared" si="9"/>
        <v>419.7953183359361</v>
      </c>
      <c r="Q37" s="1">
        <f t="shared" si="10"/>
        <v>3.0078125</v>
      </c>
      <c r="R37" s="4">
        <f t="shared" si="11"/>
        <v>0.004231007932834632</v>
      </c>
      <c r="S37" s="17">
        <f t="shared" si="12"/>
        <v>8</v>
      </c>
      <c r="T37" s="13">
        <v>6.2</v>
      </c>
      <c r="U37" s="11">
        <v>0.22</v>
      </c>
      <c r="V37" s="18">
        <v>0.56</v>
      </c>
      <c r="W37" s="11">
        <f t="shared" si="13"/>
        <v>0.601664358259653</v>
      </c>
      <c r="X37" s="19">
        <f t="shared" si="14"/>
        <v>3269.504841075201</v>
      </c>
      <c r="Y37" s="19">
        <f t="shared" si="15"/>
        <v>8322.375959100513</v>
      </c>
      <c r="Z37" s="19">
        <f t="shared" si="16"/>
        <v>8941.566054692454</v>
      </c>
      <c r="AA37" s="19">
        <f t="shared" si="17"/>
        <v>4.425937285316683</v>
      </c>
    </row>
    <row r="38" spans="1:27" ht="12.75">
      <c r="A38">
        <f t="shared" si="18"/>
        <v>9</v>
      </c>
      <c r="B38" s="1">
        <f t="shared" si="19"/>
        <v>66.8125</v>
      </c>
      <c r="C38" s="1">
        <f t="shared" si="20"/>
        <v>38.5</v>
      </c>
      <c r="D38" s="2">
        <f t="shared" si="0"/>
        <v>10</v>
      </c>
      <c r="E38" s="1">
        <f>rad3-rad1+rad1*COS(G38*PI()/180)</f>
        <v>66.14297533219177</v>
      </c>
      <c r="F38" s="1">
        <f>zed1+rad1*SIN(G38*PI()/180)</f>
        <v>42.82630099914544</v>
      </c>
      <c r="G38" s="1">
        <f>gamma/seg2</f>
        <v>17.594254520305128</v>
      </c>
      <c r="H38">
        <f t="shared" si="21"/>
        <v>9</v>
      </c>
      <c r="I38" s="1">
        <f t="shared" si="3"/>
        <v>4.377801230756205</v>
      </c>
      <c r="J38" s="1">
        <f t="shared" si="4"/>
        <v>0.15353883540661095</v>
      </c>
      <c r="K38" s="1">
        <f t="shared" si="5"/>
        <v>0.33476233390411647</v>
      </c>
      <c r="L38" s="1">
        <f t="shared" si="6"/>
        <v>-2.163150499572719</v>
      </c>
      <c r="M38" s="1">
        <f t="shared" si="7"/>
        <v>66.47773766609589</v>
      </c>
      <c r="N38" s="1">
        <f t="shared" si="8"/>
        <v>40.66315049957272</v>
      </c>
      <c r="O38" s="1">
        <f t="shared" si="22"/>
        <v>0.625</v>
      </c>
      <c r="P38" s="4">
        <f t="shared" si="9"/>
        <v>417.69194455815267</v>
      </c>
      <c r="Q38" s="1">
        <f t="shared" si="10"/>
        <v>2.736125769222628</v>
      </c>
      <c r="R38" s="4">
        <f t="shared" si="11"/>
        <v>0.004627826321855517</v>
      </c>
      <c r="S38" s="17">
        <f t="shared" si="12"/>
        <v>9</v>
      </c>
      <c r="T38" s="13">
        <v>5</v>
      </c>
      <c r="U38" s="11">
        <v>0.22</v>
      </c>
      <c r="V38" s="18">
        <v>0.56</v>
      </c>
      <c r="W38" s="11">
        <f t="shared" si="13"/>
        <v>0.601664358259653</v>
      </c>
      <c r="X38" s="19">
        <f t="shared" si="14"/>
        <v>2623.4863468786357</v>
      </c>
      <c r="Y38" s="19">
        <f t="shared" si="15"/>
        <v>6677.965246600164</v>
      </c>
      <c r="Z38" s="19">
        <f t="shared" si="16"/>
        <v>7174.810133171345</v>
      </c>
      <c r="AA38" s="19">
        <f t="shared" si="17"/>
        <v>3.923722402445086</v>
      </c>
    </row>
    <row r="39" spans="1:27" ht="12.75">
      <c r="A39">
        <f t="shared" si="18"/>
        <v>10</v>
      </c>
      <c r="B39" s="1">
        <f t="shared" si="19"/>
        <v>66.14297533219177</v>
      </c>
      <c r="C39" s="1">
        <f t="shared" si="20"/>
        <v>42.82630099914544</v>
      </c>
      <c r="D39" s="2">
        <f t="shared" si="0"/>
        <v>11</v>
      </c>
      <c r="E39" s="1">
        <f>rad3-rad1+rad1*COS(G39*PI()/180)</f>
        <v>64.19704073918507</v>
      </c>
      <c r="F39" s="1">
        <f>zed1+rad1*SIN(G39*PI()/180)</f>
        <v>46.74784179018031</v>
      </c>
      <c r="G39" s="1">
        <f>G38+gamma/seg2</f>
        <v>35.188509040610256</v>
      </c>
      <c r="H39">
        <f t="shared" si="21"/>
        <v>10</v>
      </c>
      <c r="I39" s="1">
        <f t="shared" si="3"/>
        <v>4.377801230756205</v>
      </c>
      <c r="J39" s="1">
        <f t="shared" si="4"/>
        <v>0.4606165062198295</v>
      </c>
      <c r="K39" s="1">
        <f t="shared" si="5"/>
        <v>0.9729672965033487</v>
      </c>
      <c r="L39" s="1">
        <f t="shared" si="6"/>
        <v>-1.9607703955174356</v>
      </c>
      <c r="M39" s="1">
        <f t="shared" si="7"/>
        <v>65.17000803568843</v>
      </c>
      <c r="N39" s="1">
        <f t="shared" si="8"/>
        <v>44.787071394662874</v>
      </c>
      <c r="O39" s="1">
        <f t="shared" si="22"/>
        <v>0.625</v>
      </c>
      <c r="P39" s="4">
        <f t="shared" si="9"/>
        <v>409.4752369586131</v>
      </c>
      <c r="Q39" s="1">
        <f t="shared" si="10"/>
        <v>2.736125769222628</v>
      </c>
      <c r="R39" s="4">
        <f t="shared" si="11"/>
        <v>0.004536789144328993</v>
      </c>
      <c r="S39" s="17">
        <f t="shared" si="12"/>
        <v>10</v>
      </c>
      <c r="T39" s="13">
        <v>4.5</v>
      </c>
      <c r="U39" s="11">
        <v>0.22</v>
      </c>
      <c r="V39" s="18">
        <v>0.56</v>
      </c>
      <c r="W39" s="11">
        <f t="shared" si="13"/>
        <v>0.601664358259653</v>
      </c>
      <c r="X39" s="19">
        <f t="shared" si="14"/>
        <v>2314.690136564577</v>
      </c>
      <c r="Y39" s="19">
        <f t="shared" si="15"/>
        <v>5891.938529437106</v>
      </c>
      <c r="Z39" s="19">
        <f t="shared" si="16"/>
        <v>6330.302525391249</v>
      </c>
      <c r="AA39" s="19">
        <f t="shared" si="17"/>
        <v>3.531350162200577</v>
      </c>
    </row>
    <row r="40" spans="1:27" ht="12.75">
      <c r="A40">
        <f t="shared" si="18"/>
        <v>11</v>
      </c>
      <c r="B40" s="1">
        <f t="shared" si="19"/>
        <v>64.19704073918507</v>
      </c>
      <c r="C40" s="1">
        <f t="shared" si="20"/>
        <v>46.74784179018031</v>
      </c>
      <c r="D40" s="2">
        <f t="shared" si="0"/>
        <v>12</v>
      </c>
      <c r="E40" s="1">
        <f>rad3-rad1+rad1*COS(G40*PI()/180)</f>
        <v>61.156754032258064</v>
      </c>
      <c r="F40" s="1">
        <f>zed1+rad1*SIN(G40*PI()/180)</f>
        <v>49.89773073357077</v>
      </c>
      <c r="G40" s="1">
        <f>G39+gamma/seg2</f>
        <v>52.782763560915384</v>
      </c>
      <c r="H40">
        <f t="shared" si="21"/>
        <v>11</v>
      </c>
      <c r="I40" s="1">
        <f t="shared" si="3"/>
        <v>4.3778012307562015</v>
      </c>
      <c r="J40" s="1">
        <f t="shared" si="4"/>
        <v>0.7676941770330504</v>
      </c>
      <c r="K40" s="1">
        <f t="shared" si="5"/>
        <v>1.520143353463503</v>
      </c>
      <c r="L40" s="1">
        <f t="shared" si="6"/>
        <v>-1.5749444716952288</v>
      </c>
      <c r="M40" s="1">
        <f t="shared" si="7"/>
        <v>62.67689738572157</v>
      </c>
      <c r="N40" s="1">
        <f t="shared" si="8"/>
        <v>48.32278626187554</v>
      </c>
      <c r="O40" s="1">
        <f t="shared" si="22"/>
        <v>0.625</v>
      </c>
      <c r="P40" s="4">
        <f t="shared" si="9"/>
        <v>393.8105607535684</v>
      </c>
      <c r="Q40" s="1">
        <f t="shared" si="10"/>
        <v>2.736125769222626</v>
      </c>
      <c r="R40" s="4">
        <f t="shared" si="11"/>
        <v>0.004363232048460807</v>
      </c>
      <c r="S40" s="17">
        <f t="shared" si="12"/>
        <v>11</v>
      </c>
      <c r="T40" s="13">
        <v>4.3</v>
      </c>
      <c r="U40" s="11">
        <v>0.22</v>
      </c>
      <c r="V40" s="18">
        <v>0.3</v>
      </c>
      <c r="W40" s="11">
        <f t="shared" si="13"/>
        <v>0.3720215047547655</v>
      </c>
      <c r="X40" s="19">
        <f t="shared" si="14"/>
        <v>2127.200950016882</v>
      </c>
      <c r="Y40" s="19">
        <f t="shared" si="15"/>
        <v>2900.728568204839</v>
      </c>
      <c r="Z40" s="19">
        <f t="shared" si="16"/>
        <v>3597.1113560956687</v>
      </c>
      <c r="AA40" s="19">
        <f t="shared" si="17"/>
        <v>2.0864620272557084</v>
      </c>
    </row>
    <row r="41" spans="1:27" ht="12.75">
      <c r="A41">
        <f t="shared" si="18"/>
        <v>12</v>
      </c>
      <c r="B41" s="1">
        <f t="shared" si="19"/>
        <v>61.156754032258064</v>
      </c>
      <c r="C41" s="1">
        <f t="shared" si="20"/>
        <v>49.89773073357077</v>
      </c>
      <c r="D41" s="2">
        <f t="shared" si="0"/>
        <v>13</v>
      </c>
      <c r="E41" s="1">
        <f aca="true" t="shared" si="23" ref="E41:E53">rad2*COS(G41*PI()/180)</f>
        <v>57.0587685182523</v>
      </c>
      <c r="F41" s="1">
        <f aca="true" t="shared" si="24" ref="F41:F53">rad2*SIN(G41*PI()/180)-(rad2*COS(th*PI()/180)-zed2)</f>
        <v>52.8517479156904</v>
      </c>
      <c r="G41" s="1">
        <f aca="true" t="shared" si="25" ref="G41:G53">G40+th/seg3</f>
        <v>55.64562790238343</v>
      </c>
      <c r="H41">
        <f t="shared" si="21"/>
        <v>12</v>
      </c>
      <c r="I41" s="1">
        <f t="shared" si="3"/>
        <v>5.0517029589297024</v>
      </c>
      <c r="J41" s="1">
        <f t="shared" si="4"/>
        <v>0.94621621683794</v>
      </c>
      <c r="K41" s="1">
        <f t="shared" si="5"/>
        <v>2.048992757002882</v>
      </c>
      <c r="L41" s="1">
        <f t="shared" si="6"/>
        <v>-1.4770085910598174</v>
      </c>
      <c r="M41" s="1">
        <f t="shared" si="7"/>
        <v>59.107761275255186</v>
      </c>
      <c r="N41" s="1">
        <f t="shared" si="8"/>
        <v>51.37473932463059</v>
      </c>
      <c r="O41" s="1">
        <f t="shared" si="22"/>
        <v>0.625</v>
      </c>
      <c r="P41" s="4">
        <f t="shared" si="9"/>
        <v>371.3850171849619</v>
      </c>
      <c r="Q41" s="1">
        <f t="shared" si="10"/>
        <v>3.157314349331064</v>
      </c>
      <c r="R41" s="4">
        <f t="shared" si="11"/>
        <v>0.003565854054693692</v>
      </c>
      <c r="S41" s="17">
        <f t="shared" si="12"/>
        <v>12</v>
      </c>
      <c r="T41" s="13">
        <v>4.6</v>
      </c>
      <c r="U41" s="11">
        <v>0.22</v>
      </c>
      <c r="V41" s="18">
        <v>0.3</v>
      </c>
      <c r="W41" s="11">
        <f t="shared" si="13"/>
        <v>0.3720215047547655</v>
      </c>
      <c r="X41" s="19">
        <f t="shared" si="14"/>
        <v>2146.025682172655</v>
      </c>
      <c r="Y41" s="19">
        <f t="shared" si="15"/>
        <v>2926.398657508166</v>
      </c>
      <c r="Z41" s="19">
        <f t="shared" si="16"/>
        <v>3628.9441069283776</v>
      </c>
      <c r="AA41" s="19">
        <f t="shared" si="17"/>
        <v>1.9342744455515588</v>
      </c>
    </row>
    <row r="42" spans="1:27" ht="12.75">
      <c r="A42">
        <f t="shared" si="18"/>
        <v>13</v>
      </c>
      <c r="B42" s="1">
        <f t="shared" si="19"/>
        <v>57.0587685182523</v>
      </c>
      <c r="C42" s="1">
        <f t="shared" si="20"/>
        <v>52.8517479156904</v>
      </c>
      <c r="D42" s="2">
        <f t="shared" si="0"/>
        <v>14</v>
      </c>
      <c r="E42" s="1">
        <f t="shared" si="23"/>
        <v>52.81835732169897</v>
      </c>
      <c r="F42" s="1">
        <f t="shared" si="24"/>
        <v>55.597401875934544</v>
      </c>
      <c r="G42" s="1">
        <f t="shared" si="25"/>
        <v>58.50849224385148</v>
      </c>
      <c r="H42">
        <f t="shared" si="21"/>
        <v>13</v>
      </c>
      <c r="I42" s="1">
        <f t="shared" si="3"/>
        <v>5.05170295892971</v>
      </c>
      <c r="J42" s="1">
        <f t="shared" si="4"/>
        <v>0.9961826256344934</v>
      </c>
      <c r="K42" s="1">
        <f t="shared" si="5"/>
        <v>2.1202055982766654</v>
      </c>
      <c r="L42" s="1">
        <f t="shared" si="6"/>
        <v>-1.372826980122071</v>
      </c>
      <c r="M42" s="1">
        <f t="shared" si="7"/>
        <v>54.93856291997563</v>
      </c>
      <c r="N42" s="1">
        <f t="shared" si="8"/>
        <v>54.224574895812474</v>
      </c>
      <c r="O42" s="1">
        <f t="shared" si="22"/>
        <v>0.625</v>
      </c>
      <c r="P42" s="4">
        <f t="shared" si="9"/>
        <v>345.1891713363521</v>
      </c>
      <c r="Q42" s="1">
        <f t="shared" si="10"/>
        <v>3.157314349331069</v>
      </c>
      <c r="R42" s="4">
        <f t="shared" si="11"/>
        <v>0.003314334583489832</v>
      </c>
      <c r="S42" s="17">
        <f t="shared" si="12"/>
        <v>13</v>
      </c>
      <c r="T42" s="13">
        <v>4.6</v>
      </c>
      <c r="U42" s="11">
        <v>0.34</v>
      </c>
      <c r="V42" s="18">
        <v>0.3</v>
      </c>
      <c r="W42" s="11">
        <f t="shared" si="13"/>
        <v>0.4534313619501854</v>
      </c>
      <c r="X42" s="19">
        <f t="shared" si="14"/>
        <v>3082.6479931998942</v>
      </c>
      <c r="Y42" s="19">
        <f t="shared" si="15"/>
        <v>2719.9835234116713</v>
      </c>
      <c r="Z42" s="19">
        <f t="shared" si="16"/>
        <v>4111.086111675393</v>
      </c>
      <c r="AA42" s="19">
        <f t="shared" si="17"/>
        <v>2.357553757033575</v>
      </c>
    </row>
    <row r="43" spans="1:27" ht="12.75">
      <c r="A43">
        <f t="shared" si="18"/>
        <v>14</v>
      </c>
      <c r="B43" s="1">
        <f t="shared" si="19"/>
        <v>52.81835732169897</v>
      </c>
      <c r="C43" s="1">
        <f t="shared" si="20"/>
        <v>55.597401875934544</v>
      </c>
      <c r="D43" s="2">
        <f t="shared" si="0"/>
        <v>15</v>
      </c>
      <c r="E43" s="1">
        <f t="shared" si="23"/>
        <v>48.446105028887494</v>
      </c>
      <c r="F43" s="1">
        <f t="shared" si="24"/>
        <v>58.12783912535692</v>
      </c>
      <c r="G43" s="1">
        <f t="shared" si="25"/>
        <v>61.371356585319525</v>
      </c>
      <c r="H43">
        <f t="shared" si="21"/>
        <v>14</v>
      </c>
      <c r="I43" s="1">
        <f t="shared" si="3"/>
        <v>5.051702958929739</v>
      </c>
      <c r="J43" s="1">
        <f t="shared" si="4"/>
        <v>1.046149034431051</v>
      </c>
      <c r="K43" s="1">
        <f t="shared" si="5"/>
        <v>2.1861261464057367</v>
      </c>
      <c r="L43" s="1">
        <f t="shared" si="6"/>
        <v>-1.265218624711189</v>
      </c>
      <c r="M43" s="1">
        <f t="shared" si="7"/>
        <v>50.63223117529323</v>
      </c>
      <c r="N43" s="1">
        <f t="shared" si="8"/>
        <v>56.86262050064573</v>
      </c>
      <c r="O43" s="1">
        <f t="shared" si="22"/>
        <v>0.625</v>
      </c>
      <c r="P43" s="4">
        <f t="shared" si="9"/>
        <v>318.1316909903226</v>
      </c>
      <c r="Q43" s="1">
        <f t="shared" si="10"/>
        <v>3.1573143493310867</v>
      </c>
      <c r="R43" s="4">
        <f t="shared" si="11"/>
        <v>0.0030545421267746523</v>
      </c>
      <c r="S43" s="17">
        <f t="shared" si="12"/>
        <v>14</v>
      </c>
      <c r="T43" s="13">
        <v>4.8</v>
      </c>
      <c r="U43" s="11">
        <v>0.34</v>
      </c>
      <c r="V43" s="18">
        <v>0.3</v>
      </c>
      <c r="W43" s="11">
        <f t="shared" si="13"/>
        <v>0.4534313619501854</v>
      </c>
      <c r="X43" s="19">
        <f t="shared" si="14"/>
        <v>2964.5386161917636</v>
      </c>
      <c r="Y43" s="19">
        <f t="shared" si="15"/>
        <v>2615.7693672280266</v>
      </c>
      <c r="Z43" s="19">
        <f t="shared" si="16"/>
        <v>3953.5728890992627</v>
      </c>
      <c r="AA43" s="19">
        <f t="shared" si="17"/>
        <v>2.460056094295892</v>
      </c>
    </row>
    <row r="44" spans="1:27" ht="12.75">
      <c r="A44">
        <f t="shared" si="18"/>
        <v>15</v>
      </c>
      <c r="B44" s="1">
        <f t="shared" si="19"/>
        <v>48.446105028887494</v>
      </c>
      <c r="C44" s="1">
        <f t="shared" si="20"/>
        <v>58.12783912535692</v>
      </c>
      <c r="D44" s="2">
        <f t="shared" si="0"/>
        <v>16</v>
      </c>
      <c r="E44" s="1">
        <f t="shared" si="23"/>
        <v>43.952925317649495</v>
      </c>
      <c r="F44" s="1">
        <f t="shared" si="24"/>
        <v>60.43674338231049</v>
      </c>
      <c r="G44" s="1">
        <f t="shared" si="25"/>
        <v>64.23422092678757</v>
      </c>
      <c r="H44">
        <f t="shared" si="21"/>
        <v>15</v>
      </c>
      <c r="I44" s="1">
        <f t="shared" si="3"/>
        <v>5.051702958929702</v>
      </c>
      <c r="J44" s="1">
        <f t="shared" si="4"/>
        <v>1.0961154432276092</v>
      </c>
      <c r="K44" s="1">
        <f t="shared" si="5"/>
        <v>2.246589855619</v>
      </c>
      <c r="L44" s="1">
        <f t="shared" si="6"/>
        <v>-1.1544521284767844</v>
      </c>
      <c r="M44" s="1">
        <f t="shared" si="7"/>
        <v>46.199515173268495</v>
      </c>
      <c r="N44" s="1">
        <f t="shared" si="8"/>
        <v>59.282291253833705</v>
      </c>
      <c r="O44" s="1">
        <f t="shared" si="22"/>
        <v>0.625</v>
      </c>
      <c r="P44" s="4">
        <f t="shared" si="9"/>
        <v>290.28011493550093</v>
      </c>
      <c r="Q44" s="1">
        <f t="shared" si="10"/>
        <v>3.1573143493310636</v>
      </c>
      <c r="R44" s="4">
        <f t="shared" si="11"/>
        <v>0.002787125158374914</v>
      </c>
      <c r="S44" s="17">
        <f t="shared" si="12"/>
        <v>15</v>
      </c>
      <c r="T44" s="13">
        <v>4.8</v>
      </c>
      <c r="U44" s="11">
        <v>0.31</v>
      </c>
      <c r="V44" s="18">
        <v>0.6</v>
      </c>
      <c r="W44" s="11">
        <f t="shared" si="13"/>
        <v>0.6753517601961219</v>
      </c>
      <c r="X44" s="19">
        <f t="shared" si="14"/>
        <v>2466.324636002303</v>
      </c>
      <c r="Y44" s="19">
        <f t="shared" si="15"/>
        <v>4773.531553552844</v>
      </c>
      <c r="Z44" s="19">
        <f t="shared" si="16"/>
        <v>5373.021561739402</v>
      </c>
      <c r="AA44" s="19">
        <f t="shared" si="17"/>
        <v>3.6640677131778623</v>
      </c>
    </row>
    <row r="45" spans="1:27" ht="12.75">
      <c r="A45">
        <f t="shared" si="18"/>
        <v>16</v>
      </c>
      <c r="B45" s="1">
        <f t="shared" si="19"/>
        <v>43.952925317649495</v>
      </c>
      <c r="C45" s="1">
        <f t="shared" si="20"/>
        <v>60.43674338231049</v>
      </c>
      <c r="D45" s="2">
        <f t="shared" si="0"/>
        <v>17</v>
      </c>
      <c r="E45" s="1">
        <f t="shared" si="23"/>
        <v>39.35003371548053</v>
      </c>
      <c r="F45" s="1">
        <f t="shared" si="24"/>
        <v>62.51835133866101</v>
      </c>
      <c r="G45" s="1">
        <f t="shared" si="25"/>
        <v>67.09708526825563</v>
      </c>
      <c r="H45">
        <f t="shared" si="21"/>
        <v>16</v>
      </c>
      <c r="I45" s="1">
        <f t="shared" si="3"/>
        <v>5.051702958929732</v>
      </c>
      <c r="J45" s="1">
        <f t="shared" si="4"/>
        <v>1.146081852024163</v>
      </c>
      <c r="K45" s="1">
        <f t="shared" si="5"/>
        <v>2.3014458010844834</v>
      </c>
      <c r="L45" s="1">
        <f t="shared" si="6"/>
        <v>-1.0408039781752627</v>
      </c>
      <c r="M45" s="1">
        <f t="shared" si="7"/>
        <v>41.65147951656501</v>
      </c>
      <c r="N45" s="1">
        <f t="shared" si="8"/>
        <v>61.47754736048575</v>
      </c>
      <c r="O45" s="1">
        <f t="shared" si="22"/>
        <v>0.625</v>
      </c>
      <c r="P45" s="4">
        <f t="shared" si="9"/>
        <v>261.70396412077275</v>
      </c>
      <c r="Q45" s="1">
        <f t="shared" si="10"/>
        <v>3.1573143493310822</v>
      </c>
      <c r="R45" s="4">
        <f t="shared" si="11"/>
        <v>0.0025127511838333033</v>
      </c>
      <c r="S45" s="17">
        <f t="shared" si="12"/>
        <v>16</v>
      </c>
      <c r="T45" s="13">
        <v>4.5</v>
      </c>
      <c r="U45" s="11">
        <v>0.31</v>
      </c>
      <c r="V45" s="18">
        <v>0.6</v>
      </c>
      <c r="W45" s="11">
        <f t="shared" si="13"/>
        <v>0.6753517601961219</v>
      </c>
      <c r="X45" s="19">
        <f t="shared" si="14"/>
        <v>2084.5606348434135</v>
      </c>
      <c r="Y45" s="19">
        <f t="shared" si="15"/>
        <v>4034.6334867937035</v>
      </c>
      <c r="Z45" s="19">
        <f t="shared" si="16"/>
        <v>4541.328045087241</v>
      </c>
      <c r="AA45" s="19">
        <f t="shared" si="17"/>
        <v>3.4350634811042258</v>
      </c>
    </row>
    <row r="46" spans="1:27" ht="12.75">
      <c r="A46">
        <f t="shared" si="18"/>
        <v>17</v>
      </c>
      <c r="B46" s="1">
        <f t="shared" si="19"/>
        <v>39.35003371548053</v>
      </c>
      <c r="C46" s="1">
        <f t="shared" si="20"/>
        <v>62.51835133866101</v>
      </c>
      <c r="D46" s="2">
        <f t="shared" si="0"/>
        <v>18</v>
      </c>
      <c r="E46" s="1">
        <f t="shared" si="23"/>
        <v>34.64891960420844</v>
      </c>
      <c r="F46" s="1">
        <f t="shared" si="24"/>
        <v>64.36746704571067</v>
      </c>
      <c r="G46" s="1">
        <f t="shared" si="25"/>
        <v>69.95994960972368</v>
      </c>
      <c r="H46">
        <f t="shared" si="21"/>
        <v>17</v>
      </c>
      <c r="I46" s="1">
        <f t="shared" si="3"/>
        <v>5.051702958929724</v>
      </c>
      <c r="J46" s="1">
        <f t="shared" si="4"/>
        <v>1.196048260820722</v>
      </c>
      <c r="K46" s="1">
        <f t="shared" si="5"/>
        <v>2.3505570556360453</v>
      </c>
      <c r="L46" s="1">
        <f t="shared" si="6"/>
        <v>-0.9245578535248274</v>
      </c>
      <c r="M46" s="1">
        <f t="shared" si="7"/>
        <v>36.99947665984448</v>
      </c>
      <c r="N46" s="1">
        <f t="shared" si="8"/>
        <v>63.442909192185844</v>
      </c>
      <c r="O46" s="1">
        <f t="shared" si="22"/>
        <v>0.625</v>
      </c>
      <c r="P46" s="4">
        <f t="shared" si="9"/>
        <v>232.4745681224689</v>
      </c>
      <c r="Q46" s="1">
        <f t="shared" si="10"/>
        <v>3.1573143493310774</v>
      </c>
      <c r="R46" s="4">
        <f t="shared" si="11"/>
        <v>0.00223210507423301</v>
      </c>
      <c r="S46" s="17">
        <f t="shared" si="12"/>
        <v>17</v>
      </c>
      <c r="T46" s="13">
        <v>3.9</v>
      </c>
      <c r="U46" s="11">
        <v>0.31</v>
      </c>
      <c r="V46" s="18">
        <v>0.3</v>
      </c>
      <c r="W46" s="11">
        <f t="shared" si="13"/>
        <v>0.4313930922024598</v>
      </c>
      <c r="X46" s="19">
        <f t="shared" si="14"/>
        <v>1604.8401238907418</v>
      </c>
      <c r="Y46" s="19">
        <f t="shared" si="15"/>
        <v>1553.0710876362016</v>
      </c>
      <c r="Z46" s="19">
        <f t="shared" si="16"/>
        <v>2233.2804630187284</v>
      </c>
      <c r="AA46" s="19">
        <f t="shared" si="17"/>
        <v>1.9016474748640206</v>
      </c>
    </row>
    <row r="47" spans="1:27" ht="12.75">
      <c r="A47">
        <f t="shared" si="18"/>
        <v>18</v>
      </c>
      <c r="B47" s="1">
        <f t="shared" si="19"/>
        <v>34.64891960420844</v>
      </c>
      <c r="C47" s="1">
        <f t="shared" si="20"/>
        <v>64.36746704571067</v>
      </c>
      <c r="D47" s="2">
        <f t="shared" si="0"/>
        <v>19</v>
      </c>
      <c r="E47" s="1">
        <f t="shared" si="23"/>
        <v>29.861317541087427</v>
      </c>
      <c r="F47" s="1">
        <f t="shared" si="24"/>
        <v>65.97947488392322</v>
      </c>
      <c r="G47" s="1">
        <f t="shared" si="25"/>
        <v>72.82281395119173</v>
      </c>
      <c r="H47">
        <f t="shared" si="21"/>
        <v>18</v>
      </c>
      <c r="I47" s="1">
        <f t="shared" si="3"/>
        <v>5.051702958929716</v>
      </c>
      <c r="J47" s="1">
        <f t="shared" si="4"/>
        <v>1.2460146696172827</v>
      </c>
      <c r="K47" s="1">
        <f t="shared" si="5"/>
        <v>2.393801031560505</v>
      </c>
      <c r="L47" s="1">
        <f t="shared" si="6"/>
        <v>-0.806003919106274</v>
      </c>
      <c r="M47" s="1">
        <f t="shared" si="7"/>
        <v>32.25511857264793</v>
      </c>
      <c r="N47" s="1">
        <f t="shared" si="8"/>
        <v>65.17347096481694</v>
      </c>
      <c r="O47" s="1">
        <f t="shared" si="22"/>
        <v>0.625</v>
      </c>
      <c r="P47" s="4">
        <f t="shared" si="9"/>
        <v>202.66488709699686</v>
      </c>
      <c r="Q47" s="1">
        <f t="shared" si="10"/>
        <v>3.1573143493310725</v>
      </c>
      <c r="R47" s="4">
        <f t="shared" si="11"/>
        <v>0.0019458873566753196</v>
      </c>
      <c r="S47" s="17">
        <f t="shared" si="12"/>
        <v>18</v>
      </c>
      <c r="T47" s="13">
        <v>3.2</v>
      </c>
      <c r="U47" s="11">
        <v>0.31</v>
      </c>
      <c r="V47" s="18">
        <v>0.3</v>
      </c>
      <c r="W47" s="11">
        <f t="shared" si="13"/>
        <v>0.4313930922024598</v>
      </c>
      <c r="X47" s="19">
        <f t="shared" si="14"/>
        <v>1147.9426897958213</v>
      </c>
      <c r="Y47" s="19">
        <f t="shared" si="15"/>
        <v>1110.912280447569</v>
      </c>
      <c r="Z47" s="19">
        <f t="shared" si="16"/>
        <v>1597.4662794265432</v>
      </c>
      <c r="AA47" s="19">
        <f t="shared" si="17"/>
        <v>1.5603261332217628</v>
      </c>
    </row>
    <row r="48" spans="1:27" ht="12.75">
      <c r="A48">
        <f t="shared" si="18"/>
        <v>19</v>
      </c>
      <c r="B48" s="1">
        <f t="shared" si="19"/>
        <v>29.861317541087427</v>
      </c>
      <c r="C48" s="1">
        <f t="shared" si="20"/>
        <v>65.97947488392322</v>
      </c>
      <c r="D48" s="2">
        <f t="shared" si="0"/>
        <v>20</v>
      </c>
      <c r="E48" s="1">
        <f t="shared" si="23"/>
        <v>24.99917796790435</v>
      </c>
      <c r="F48" s="1">
        <f t="shared" si="24"/>
        <v>67.35035108407635</v>
      </c>
      <c r="G48" s="1">
        <f t="shared" si="25"/>
        <v>75.68567829265979</v>
      </c>
      <c r="H48">
        <f t="shared" si="21"/>
        <v>19</v>
      </c>
      <c r="I48" s="1">
        <f t="shared" si="3"/>
        <v>5.05170295892971</v>
      </c>
      <c r="J48" s="1">
        <f t="shared" si="4"/>
        <v>1.295981078413833</v>
      </c>
      <c r="K48" s="1">
        <f t="shared" si="5"/>
        <v>2.4310697865915376</v>
      </c>
      <c r="L48" s="1">
        <f t="shared" si="6"/>
        <v>-0.6854381000765667</v>
      </c>
      <c r="M48" s="1">
        <f t="shared" si="7"/>
        <v>27.430247754495888</v>
      </c>
      <c r="N48" s="1">
        <f t="shared" si="8"/>
        <v>66.66491298399978</v>
      </c>
      <c r="O48" s="1">
        <f t="shared" si="22"/>
        <v>0.625</v>
      </c>
      <c r="P48" s="4">
        <f t="shared" si="9"/>
        <v>172.3493296633444</v>
      </c>
      <c r="Q48" s="1">
        <f t="shared" si="10"/>
        <v>3.157314349331069</v>
      </c>
      <c r="R48" s="4">
        <f t="shared" si="11"/>
        <v>0.0016548124656781678</v>
      </c>
      <c r="S48" s="17">
        <f t="shared" si="12"/>
        <v>19</v>
      </c>
      <c r="T48" s="13">
        <v>2.5</v>
      </c>
      <c r="U48" s="11">
        <v>0.31</v>
      </c>
      <c r="V48" s="18">
        <v>0.2</v>
      </c>
      <c r="W48" s="11">
        <f t="shared" si="13"/>
        <v>0.36891733491393436</v>
      </c>
      <c r="X48" s="19">
        <f t="shared" si="14"/>
        <v>762.6781854342759</v>
      </c>
      <c r="Y48" s="19">
        <f t="shared" si="15"/>
        <v>492.05044221566175</v>
      </c>
      <c r="Z48" s="19">
        <f t="shared" si="16"/>
        <v>907.6296889271241</v>
      </c>
      <c r="AA48" s="19">
        <f t="shared" si="17"/>
        <v>1.0424645342855174</v>
      </c>
    </row>
    <row r="49" spans="1:27" ht="12.75">
      <c r="A49">
        <f t="shared" si="18"/>
        <v>20</v>
      </c>
      <c r="B49" s="1">
        <f t="shared" si="19"/>
        <v>24.99917796790435</v>
      </c>
      <c r="C49" s="1">
        <f t="shared" si="20"/>
        <v>67.35035108407635</v>
      </c>
      <c r="D49" s="2">
        <f t="shared" si="0"/>
        <v>21</v>
      </c>
      <c r="E49" s="1">
        <f t="shared" si="23"/>
        <v>20.074637381210614</v>
      </c>
      <c r="F49" s="1">
        <f t="shared" si="24"/>
        <v>68.47667377108291</v>
      </c>
      <c r="G49" s="1">
        <f t="shared" si="25"/>
        <v>78.54854263412784</v>
      </c>
      <c r="H49">
        <f t="shared" si="21"/>
        <v>20</v>
      </c>
      <c r="I49" s="1">
        <f t="shared" si="3"/>
        <v>5.0517029589297495</v>
      </c>
      <c r="J49" s="1">
        <f t="shared" si="4"/>
        <v>1.3459474872103905</v>
      </c>
      <c r="K49" s="1">
        <f t="shared" si="5"/>
        <v>2.4622702933468688</v>
      </c>
      <c r="L49" s="1">
        <f t="shared" si="6"/>
        <v>-0.5631613435032817</v>
      </c>
      <c r="M49" s="1">
        <f t="shared" si="7"/>
        <v>22.536907674557483</v>
      </c>
      <c r="N49" s="1">
        <f t="shared" si="8"/>
        <v>67.91351242757963</v>
      </c>
      <c r="O49" s="1">
        <f t="shared" si="22"/>
        <v>0.625</v>
      </c>
      <c r="P49" s="4">
        <f t="shared" si="9"/>
        <v>141.60356717004242</v>
      </c>
      <c r="Q49" s="1">
        <f t="shared" si="10"/>
        <v>3.1573143493310933</v>
      </c>
      <c r="R49" s="4">
        <f t="shared" si="11"/>
        <v>0.0013596069598599508</v>
      </c>
      <c r="S49" s="17">
        <f t="shared" si="12"/>
        <v>20</v>
      </c>
      <c r="T49" s="13">
        <v>1.8</v>
      </c>
      <c r="U49" s="11">
        <v>0.31</v>
      </c>
      <c r="V49" s="18">
        <v>0.3</v>
      </c>
      <c r="W49" s="11">
        <f t="shared" si="13"/>
        <v>0.4313930922024598</v>
      </c>
      <c r="X49" s="19">
        <f t="shared" si="14"/>
        <v>451.1681324626072</v>
      </c>
      <c r="Y49" s="19">
        <f t="shared" si="15"/>
        <v>436.614321738007</v>
      </c>
      <c r="Z49" s="19">
        <f t="shared" si="16"/>
        <v>627.8413411814616</v>
      </c>
      <c r="AA49" s="19">
        <f t="shared" si="17"/>
        <v>0.8776834499372356</v>
      </c>
    </row>
    <row r="50" spans="1:27" ht="12.75">
      <c r="A50">
        <f t="shared" si="18"/>
        <v>21</v>
      </c>
      <c r="B50" s="1">
        <f t="shared" si="19"/>
        <v>20.074637381210614</v>
      </c>
      <c r="C50" s="1">
        <f t="shared" si="20"/>
        <v>68.47667377108291</v>
      </c>
      <c r="D50" s="2">
        <f t="shared" si="0"/>
        <v>22</v>
      </c>
      <c r="E50" s="1">
        <f t="shared" si="23"/>
        <v>15.09998803813885</v>
      </c>
      <c r="F50" s="1">
        <f t="shared" si="24"/>
        <v>69.35563150541077</v>
      </c>
      <c r="G50" s="1">
        <f t="shared" si="25"/>
        <v>81.4114069755959</v>
      </c>
      <c r="H50">
        <f t="shared" si="21"/>
        <v>21</v>
      </c>
      <c r="I50" s="1">
        <f t="shared" si="3"/>
        <v>5.051702958929701</v>
      </c>
      <c r="J50" s="1">
        <f t="shared" si="4"/>
        <v>1.3959138960069497</v>
      </c>
      <c r="K50" s="1">
        <f t="shared" si="5"/>
        <v>2.487324671535882</v>
      </c>
      <c r="L50" s="1">
        <f t="shared" si="6"/>
        <v>-0.4394788671639277</v>
      </c>
      <c r="M50" s="1">
        <f t="shared" si="7"/>
        <v>17.587312709674734</v>
      </c>
      <c r="N50" s="1">
        <f t="shared" si="8"/>
        <v>68.91615263824684</v>
      </c>
      <c r="O50" s="1">
        <f t="shared" si="22"/>
        <v>0.625</v>
      </c>
      <c r="P50" s="4">
        <f t="shared" si="9"/>
        <v>110.50434481020109</v>
      </c>
      <c r="Q50" s="1">
        <f t="shared" si="10"/>
        <v>3.157314349331063</v>
      </c>
      <c r="R50" s="4">
        <f t="shared" si="11"/>
        <v>0.001061007708360188</v>
      </c>
      <c r="S50" s="17">
        <f t="shared" si="12"/>
        <v>21</v>
      </c>
      <c r="T50" s="13">
        <v>0.9</v>
      </c>
      <c r="U50" s="11">
        <v>0.2</v>
      </c>
      <c r="V50" s="18">
        <v>0.3</v>
      </c>
      <c r="W50" s="11">
        <f t="shared" si="13"/>
        <v>0.36055512754639896</v>
      </c>
      <c r="X50" s="19">
        <f t="shared" si="14"/>
        <v>113.57477433335944</v>
      </c>
      <c r="Y50" s="19">
        <f t="shared" si="15"/>
        <v>170.36216150003915</v>
      </c>
      <c r="Z50" s="19">
        <f t="shared" si="16"/>
        <v>204.74983622908945</v>
      </c>
      <c r="AA50" s="19">
        <f t="shared" si="17"/>
        <v>0.36678063923305704</v>
      </c>
    </row>
    <row r="51" spans="1:27" ht="12.75">
      <c r="A51">
        <f t="shared" si="18"/>
        <v>22</v>
      </c>
      <c r="B51" s="1">
        <f t="shared" si="19"/>
        <v>15.09998803813885</v>
      </c>
      <c r="C51" s="1">
        <f t="shared" si="20"/>
        <v>69.35563150541077</v>
      </c>
      <c r="D51" s="2">
        <f t="shared" si="0"/>
        <v>23</v>
      </c>
      <c r="E51" s="1">
        <f t="shared" si="23"/>
        <v>10.087647273421604</v>
      </c>
      <c r="F51" s="1">
        <f t="shared" si="24"/>
        <v>69.98503030078066</v>
      </c>
      <c r="G51" s="1">
        <f t="shared" si="25"/>
        <v>84.27427131706395</v>
      </c>
      <c r="H51">
        <f t="shared" si="21"/>
        <v>22</v>
      </c>
      <c r="I51" s="1">
        <f t="shared" si="3"/>
        <v>5.0517029589297255</v>
      </c>
      <c r="J51" s="1">
        <f t="shared" si="4"/>
        <v>1.4458803048035043</v>
      </c>
      <c r="K51" s="1">
        <f t="shared" si="5"/>
        <v>2.506170382358623</v>
      </c>
      <c r="L51" s="1">
        <f t="shared" si="6"/>
        <v>-0.3146993976849483</v>
      </c>
      <c r="M51" s="1">
        <f t="shared" si="7"/>
        <v>12.593817655780228</v>
      </c>
      <c r="N51" s="1">
        <f t="shared" si="8"/>
        <v>69.67033090309572</v>
      </c>
      <c r="O51" s="1">
        <f t="shared" si="22"/>
        <v>0.625</v>
      </c>
      <c r="P51" s="4">
        <f t="shared" si="9"/>
        <v>79.12929005609719</v>
      </c>
      <c r="Q51" s="1">
        <f t="shared" si="10"/>
        <v>3.1573143493310782</v>
      </c>
      <c r="R51" s="4">
        <f t="shared" si="11"/>
        <v>0.0007597600515236711</v>
      </c>
      <c r="S51" s="17">
        <f t="shared" si="12"/>
        <v>22</v>
      </c>
      <c r="T51" s="13">
        <v>0.4</v>
      </c>
      <c r="U51" s="11">
        <v>0.2</v>
      </c>
      <c r="V51" s="18">
        <v>0.2</v>
      </c>
      <c r="W51" s="11">
        <f t="shared" si="13"/>
        <v>0.28284271247461906</v>
      </c>
      <c r="X51" s="19">
        <f t="shared" si="14"/>
        <v>36.145753270168846</v>
      </c>
      <c r="Y51" s="19">
        <f t="shared" si="15"/>
        <v>36.145753270168846</v>
      </c>
      <c r="Z51" s="19">
        <f t="shared" si="16"/>
        <v>51.11781449686444</v>
      </c>
      <c r="AA51" s="19">
        <f t="shared" si="17"/>
        <v>0.1278784025064878</v>
      </c>
    </row>
    <row r="52" spans="1:27" ht="12.75">
      <c r="A52">
        <f t="shared" si="18"/>
        <v>23</v>
      </c>
      <c r="B52" s="1">
        <f t="shared" si="19"/>
        <v>10.087647273421604</v>
      </c>
      <c r="C52" s="1">
        <f t="shared" si="20"/>
        <v>69.98503030078066</v>
      </c>
      <c r="D52" s="2">
        <f t="shared" si="0"/>
        <v>24</v>
      </c>
      <c r="E52" s="1">
        <f t="shared" si="23"/>
        <v>5.050126504201517</v>
      </c>
      <c r="F52" s="1">
        <f t="shared" si="24"/>
        <v>70.36329910062489</v>
      </c>
      <c r="G52" s="1">
        <f t="shared" si="25"/>
        <v>87.137135658532</v>
      </c>
      <c r="H52">
        <f t="shared" si="21"/>
        <v>23</v>
      </c>
      <c r="I52" s="1">
        <f t="shared" si="3"/>
        <v>5.051702958929724</v>
      </c>
      <c r="J52" s="1">
        <f t="shared" si="4"/>
        <v>1.4958467136000628</v>
      </c>
      <c r="K52" s="1">
        <f t="shared" si="5"/>
        <v>2.5187603846100437</v>
      </c>
      <c r="L52" s="1">
        <f t="shared" si="6"/>
        <v>-0.1891343999221093</v>
      </c>
      <c r="M52" s="1">
        <f t="shared" si="7"/>
        <v>7.56888688881156</v>
      </c>
      <c r="N52" s="1">
        <f t="shared" si="8"/>
        <v>70.17416470070278</v>
      </c>
      <c r="O52" s="1">
        <f t="shared" si="22"/>
        <v>0.625</v>
      </c>
      <c r="P52" s="4">
        <f t="shared" si="9"/>
        <v>47.556718891485005</v>
      </c>
      <c r="Q52" s="1">
        <f t="shared" si="10"/>
        <v>3.1573143493310774</v>
      </c>
      <c r="R52" s="4">
        <f t="shared" si="11"/>
        <v>0.0004566159404397099</v>
      </c>
      <c r="S52" s="17">
        <f t="shared" si="12"/>
        <v>23</v>
      </c>
      <c r="T52" s="13">
        <v>0.1</v>
      </c>
      <c r="U52" s="11">
        <v>0.2</v>
      </c>
      <c r="V52" s="18">
        <v>0.2</v>
      </c>
      <c r="W52" s="11">
        <f t="shared" si="13"/>
        <v>0.28284271247461906</v>
      </c>
      <c r="X52" s="19">
        <f t="shared" si="14"/>
        <v>5.430901206657362</v>
      </c>
      <c r="Y52" s="19">
        <f t="shared" si="15"/>
        <v>5.430901206657362</v>
      </c>
      <c r="Z52" s="19">
        <f t="shared" si="16"/>
        <v>7.680454142363249</v>
      </c>
      <c r="AA52" s="19">
        <f t="shared" si="17"/>
        <v>0.031969600626621957</v>
      </c>
    </row>
    <row r="53" spans="1:27" ht="12.75">
      <c r="A53">
        <f t="shared" si="18"/>
        <v>24</v>
      </c>
      <c r="B53" s="1">
        <f t="shared" si="19"/>
        <v>5.050126504201517</v>
      </c>
      <c r="C53" s="1">
        <f t="shared" si="20"/>
        <v>70.36329910062489</v>
      </c>
      <c r="D53" s="2">
        <f t="shared" si="0"/>
        <v>25</v>
      </c>
      <c r="E53" s="1">
        <f t="shared" si="23"/>
        <v>-8.361458548798957E-14</v>
      </c>
      <c r="F53" s="1">
        <f t="shared" si="24"/>
        <v>70.48949369963717</v>
      </c>
      <c r="G53" s="1">
        <f t="shared" si="25"/>
        <v>90.00000000000006</v>
      </c>
      <c r="H53">
        <f t="shared" si="21"/>
        <v>24</v>
      </c>
      <c r="I53" s="1">
        <f t="shared" si="3"/>
        <v>5.0517029589297255</v>
      </c>
      <c r="J53" s="1">
        <f t="shared" si="4"/>
        <v>1.5458131223966172</v>
      </c>
      <c r="K53" s="1">
        <f t="shared" si="5"/>
        <v>2.5250632521008</v>
      </c>
      <c r="L53" s="1">
        <f t="shared" si="6"/>
        <v>-0.0630972995061452</v>
      </c>
      <c r="M53" s="1">
        <f t="shared" si="7"/>
        <v>2.5250632521007166</v>
      </c>
      <c r="N53" s="1">
        <f t="shared" si="8"/>
        <v>70.42639640013103</v>
      </c>
      <c r="O53" s="1">
        <f t="shared" si="22"/>
        <v>0.625</v>
      </c>
      <c r="P53" s="4">
        <f t="shared" si="9"/>
        <v>15.865440325298326</v>
      </c>
      <c r="Q53" s="1">
        <f t="shared" si="10"/>
        <v>3.1573143493310782</v>
      </c>
      <c r="R53" s="4">
        <f t="shared" si="11"/>
        <v>0.00015233205997992633</v>
      </c>
      <c r="S53" s="20"/>
      <c r="T53" s="13"/>
      <c r="U53" s="11"/>
      <c r="V53" s="20"/>
      <c r="W53" s="11" t="s">
        <v>116</v>
      </c>
      <c r="X53" s="19">
        <f>SUM(X30:X52)</f>
        <v>42817.20030907278</v>
      </c>
      <c r="Y53" s="19" t="s">
        <v>64</v>
      </c>
      <c r="Z53" s="11"/>
      <c r="AA53" s="13"/>
    </row>
    <row r="54" spans="19:27" ht="12.75">
      <c r="S54" s="13"/>
      <c r="T54" s="13"/>
      <c r="U54" s="13"/>
      <c r="V54" s="20"/>
      <c r="W54" s="13" t="s">
        <v>117</v>
      </c>
      <c r="X54" s="19">
        <v>4.7</v>
      </c>
      <c r="Y54" s="13"/>
      <c r="Z54" s="19" t="s">
        <v>64</v>
      </c>
      <c r="AA54" s="13"/>
    </row>
    <row r="55" spans="19:27" ht="12.75">
      <c r="S55" s="13"/>
      <c r="T55" s="13"/>
      <c r="U55" s="20"/>
      <c r="V55" s="13"/>
      <c r="W55" s="13" t="s">
        <v>118</v>
      </c>
      <c r="X55" s="13">
        <f>X53/4.7</f>
        <v>9110.042618951655</v>
      </c>
      <c r="Y55" s="13" t="s">
        <v>64</v>
      </c>
      <c r="Z55" s="13"/>
      <c r="AA55" s="13"/>
    </row>
    <row r="56" spans="1:5" ht="12.75">
      <c r="A56" t="s">
        <v>119</v>
      </c>
      <c r="E56" t="s">
        <v>64</v>
      </c>
    </row>
    <row r="58" spans="1:21" s="2" customFormat="1" ht="12.75">
      <c r="A58" s="2" t="s">
        <v>85</v>
      </c>
      <c r="B58" s="2" t="s">
        <v>86</v>
      </c>
      <c r="C58" s="2" t="s">
        <v>87</v>
      </c>
      <c r="D58" s="2" t="s">
        <v>120</v>
      </c>
      <c r="E58" s="2" t="s">
        <v>64</v>
      </c>
      <c r="I58" s="3"/>
      <c r="J58" s="3"/>
      <c r="K58" s="3"/>
      <c r="L58" s="3"/>
      <c r="M58" s="3"/>
      <c r="N58" s="3"/>
      <c r="O58" s="5"/>
      <c r="P58" s="3"/>
      <c r="Q58" s="5"/>
      <c r="U58" s="5"/>
    </row>
    <row r="59" spans="2:21" s="2" customFormat="1" ht="12.75">
      <c r="B59" s="2" t="s">
        <v>107</v>
      </c>
      <c r="C59" s="2" t="s">
        <v>107</v>
      </c>
      <c r="O59" s="5"/>
      <c r="P59" s="3"/>
      <c r="Q59" s="5"/>
      <c r="U59" s="5"/>
    </row>
    <row r="60" spans="1:22" ht="12.75">
      <c r="A60">
        <v>1</v>
      </c>
      <c r="B60" s="1">
        <v>41.074</v>
      </c>
      <c r="C60" s="1">
        <v>56.3</v>
      </c>
      <c r="D60" s="2" t="s">
        <v>121</v>
      </c>
      <c r="E60" s="2" t="s">
        <v>122</v>
      </c>
      <c r="F60" s="2"/>
      <c r="H60" s="1"/>
      <c r="S60" s="1"/>
      <c r="T60" s="1"/>
      <c r="V60" s="1"/>
    </row>
    <row r="61" spans="1:22" ht="12.75">
      <c r="A61">
        <v>3</v>
      </c>
      <c r="B61" s="1">
        <v>51.935</v>
      </c>
      <c r="C61" s="1">
        <v>40.932</v>
      </c>
      <c r="D61" s="2" t="s">
        <v>121</v>
      </c>
      <c r="E61" s="2"/>
      <c r="F61" s="2"/>
      <c r="H61" s="1"/>
      <c r="S61" s="1"/>
      <c r="T61" s="1"/>
      <c r="V61" s="1"/>
    </row>
    <row r="62" spans="1:22" ht="12.75">
      <c r="A62" t="s">
        <v>123</v>
      </c>
      <c r="B62" s="1">
        <f>F67</f>
        <v>52.142943593017634</v>
      </c>
      <c r="C62" s="1">
        <f>G67</f>
        <v>40.63776584683777</v>
      </c>
      <c r="D62" s="2" t="s">
        <v>124</v>
      </c>
      <c r="E62" s="2" t="s">
        <v>125</v>
      </c>
      <c r="F62" s="2"/>
      <c r="H62" s="1"/>
      <c r="S62" s="1"/>
      <c r="T62" s="1"/>
      <c r="V62" s="1"/>
    </row>
    <row r="63" spans="1:22" ht="12.75">
      <c r="A63">
        <v>4</v>
      </c>
      <c r="B63" s="1">
        <v>52.592</v>
      </c>
      <c r="C63" s="1">
        <v>39.276</v>
      </c>
      <c r="D63" s="2" t="s">
        <v>126</v>
      </c>
      <c r="E63" s="2"/>
      <c r="F63" s="2"/>
      <c r="H63" s="1"/>
      <c r="S63" s="1"/>
      <c r="T63" s="1"/>
      <c r="V63" s="1"/>
    </row>
    <row r="64" spans="1:22" ht="12.75">
      <c r="A64">
        <v>6</v>
      </c>
      <c r="B64" s="1">
        <v>58.468</v>
      </c>
      <c r="C64" s="1">
        <v>21.457</v>
      </c>
      <c r="D64" s="2" t="s">
        <v>126</v>
      </c>
      <c r="E64" s="2" t="s">
        <v>122</v>
      </c>
      <c r="F64" s="2"/>
      <c r="H64" s="1"/>
      <c r="S64" s="1"/>
      <c r="T64" s="1"/>
      <c r="V64" s="1"/>
    </row>
    <row r="65" spans="2:22" ht="12.75">
      <c r="B65" s="1"/>
      <c r="C65" s="1"/>
      <c r="E65" s="1"/>
      <c r="F65" s="1"/>
      <c r="H65" s="1"/>
      <c r="S65" s="1"/>
      <c r="T65" s="1"/>
      <c r="V65" s="1"/>
    </row>
    <row r="66" spans="1:25" ht="12.75">
      <c r="A66" t="s">
        <v>64</v>
      </c>
      <c r="B66" s="1" t="s">
        <v>127</v>
      </c>
      <c r="C66" s="1" t="s">
        <v>73</v>
      </c>
      <c r="D66" s="1" t="s">
        <v>128</v>
      </c>
      <c r="E66" s="2" t="s">
        <v>129</v>
      </c>
      <c r="F66" s="1" t="s">
        <v>130</v>
      </c>
      <c r="G66" s="1" t="s">
        <v>131</v>
      </c>
      <c r="P66" s="6"/>
      <c r="Q66" s="1"/>
      <c r="R66" s="4"/>
      <c r="T66" s="1"/>
      <c r="V66" s="1"/>
      <c r="Y66" s="1"/>
    </row>
    <row r="67" spans="1:25" ht="12.75">
      <c r="A67" t="s">
        <v>132</v>
      </c>
      <c r="B67" s="1">
        <f>(C61-C60)/(B61-B60)</f>
        <v>-1.4149709971457498</v>
      </c>
      <c r="C67" s="1">
        <f>ATAN(1/B67)</f>
        <v>-0.6152273205354438</v>
      </c>
      <c r="D67" s="1">
        <f>B60</f>
        <v>41.074</v>
      </c>
      <c r="E67" s="3">
        <f>C60</f>
        <v>56.3</v>
      </c>
      <c r="F67" s="1">
        <f>(D67*B67-D68*B68+E68-E67)/(B67-B68)</f>
        <v>52.142943593017634</v>
      </c>
      <c r="G67" s="1">
        <f>B67*(F67-D67)+E67</f>
        <v>40.63776584683777</v>
      </c>
      <c r="P67" s="6"/>
      <c r="Q67" s="1"/>
      <c r="R67" s="4"/>
      <c r="T67" s="1"/>
      <c r="V67" s="1"/>
      <c r="Y67" s="1"/>
    </row>
    <row r="68" spans="1:25" ht="12.75">
      <c r="A68" t="s">
        <v>133</v>
      </c>
      <c r="B68" s="1">
        <f>(C64-C63)/(B64-B63)</f>
        <v>-3.032505105513953</v>
      </c>
      <c r="C68" s="1">
        <f>ATAN(1/B68)</f>
        <v>-0.31853144630765784</v>
      </c>
      <c r="D68" s="1">
        <f>B64</f>
        <v>58.468</v>
      </c>
      <c r="E68" s="1">
        <f>C64</f>
        <v>21.457</v>
      </c>
      <c r="F68" s="1"/>
      <c r="G68" s="1"/>
      <c r="P68" s="6"/>
      <c r="Q68" s="1"/>
      <c r="R68" s="4"/>
      <c r="T68" s="1"/>
      <c r="V68" s="1"/>
      <c r="Y68" s="1"/>
    </row>
    <row r="69" spans="2:22" ht="12.75">
      <c r="B69" s="1"/>
      <c r="C69" s="1"/>
      <c r="E69" s="1"/>
      <c r="F69" s="1"/>
      <c r="H69" s="1"/>
      <c r="S69" s="1"/>
      <c r="T69" s="1"/>
      <c r="V69" s="1"/>
    </row>
    <row r="70" spans="2:22" ht="12.75">
      <c r="B70" s="2" t="s">
        <v>86</v>
      </c>
      <c r="C70" s="2" t="s">
        <v>87</v>
      </c>
      <c r="E70" s="1"/>
      <c r="F70" s="1"/>
      <c r="H70" s="1"/>
      <c r="S70" s="1"/>
      <c r="T70" s="1"/>
      <c r="V70" s="1"/>
    </row>
    <row r="71" spans="2:22" ht="12.75">
      <c r="B71" s="2" t="s">
        <v>107</v>
      </c>
      <c r="C71" s="2" t="s">
        <v>107</v>
      </c>
      <c r="E71" s="1"/>
      <c r="F71" s="1"/>
      <c r="H71" s="1"/>
      <c r="S71" s="1"/>
      <c r="T71" s="1"/>
      <c r="V71" s="1"/>
    </row>
    <row r="72" spans="2:22" ht="12.75">
      <c r="B72" s="1"/>
      <c r="C72" s="1"/>
      <c r="E72" s="1"/>
      <c r="F72" s="1"/>
      <c r="H72" s="1"/>
      <c r="S72" s="1"/>
      <c r="T72" s="1"/>
      <c r="V72" s="1"/>
    </row>
    <row r="73" spans="1:22" ht="12.75">
      <c r="A73" t="s">
        <v>134</v>
      </c>
      <c r="B73" s="1"/>
      <c r="C73" s="1"/>
      <c r="E73" s="1"/>
      <c r="F73" s="1"/>
      <c r="H73" s="1"/>
      <c r="S73" s="1"/>
      <c r="T73" s="1"/>
      <c r="V73" s="1"/>
    </row>
    <row r="74" spans="2:22" ht="12.75">
      <c r="B74" s="1"/>
      <c r="C74" s="1"/>
      <c r="E74" s="1"/>
      <c r="F74" s="1"/>
      <c r="H74" s="1"/>
      <c r="S74" s="1"/>
      <c r="T74" s="1"/>
      <c r="V74" s="1"/>
    </row>
    <row r="75" spans="2:4" ht="12.75">
      <c r="B75" t="s">
        <v>135</v>
      </c>
      <c r="C75">
        <v>1</v>
      </c>
      <c r="D75" s="2" t="s">
        <v>136</v>
      </c>
    </row>
    <row r="76" spans="2:4" ht="12.75">
      <c r="B76" t="s">
        <v>120</v>
      </c>
      <c r="C76">
        <v>0.5</v>
      </c>
      <c r="D76" s="2" t="s">
        <v>136</v>
      </c>
    </row>
    <row r="78" spans="2:8" ht="12.75">
      <c r="B78" t="s">
        <v>127</v>
      </c>
      <c r="C78" t="s">
        <v>73</v>
      </c>
      <c r="D78" s="2" t="s">
        <v>128</v>
      </c>
      <c r="E78" t="s">
        <v>129</v>
      </c>
      <c r="F78" t="s">
        <v>130</v>
      </c>
      <c r="G78" t="s">
        <v>131</v>
      </c>
      <c r="H78" t="s">
        <v>137</v>
      </c>
    </row>
    <row r="79" spans="1:8" ht="12.75">
      <c r="A79" t="s">
        <v>132</v>
      </c>
      <c r="B79" s="1">
        <f>B67</f>
        <v>-1.4149709971457498</v>
      </c>
      <c r="C79" s="1">
        <f>C67</f>
        <v>-0.6152273205354438</v>
      </c>
      <c r="D79" s="2">
        <f>B60+(tpfc+tplate/2)*COS(C79)</f>
        <v>42.09480283909813</v>
      </c>
      <c r="E79">
        <f>C60+(tpfc+tplate/2)*SIN(-C79)</f>
        <v>57.02143022094253</v>
      </c>
      <c r="F79" s="1">
        <f>(D79*B79-D80*B80+E80-E79)/(B79-B80)</f>
        <v>53.27156117695791</v>
      </c>
      <c r="G79" s="1">
        <f>B79*(F79-D79)+E79</f>
        <v>41.206641330764</v>
      </c>
      <c r="H79">
        <f>SQRT((D79-F79)^2+(E79-G79)^2)</f>
        <v>19.36562610874826</v>
      </c>
    </row>
    <row r="80" spans="1:8" ht="12.75">
      <c r="A80" t="s">
        <v>133</v>
      </c>
      <c r="B80" s="1">
        <f>B68</f>
        <v>-3.032505105513953</v>
      </c>
      <c r="C80" s="1">
        <f>C68</f>
        <v>-0.31853144630765784</v>
      </c>
      <c r="D80" s="2">
        <f>D68+(tpfc+tplate/2)*COS(C80)</f>
        <v>59.65512044027051</v>
      </c>
      <c r="E80">
        <f>E68+(tpfc+tplate/2)*SIN(-C80)</f>
        <v>21.84846527341767</v>
      </c>
      <c r="H80">
        <f>SQRT((D80-F79)^2+(E80-G79)^2)</f>
        <v>20.383542605137137</v>
      </c>
    </row>
    <row r="81" spans="2:8" ht="12.75">
      <c r="B81" s="1"/>
      <c r="C81" s="1"/>
      <c r="H81">
        <f>SUM(H79:H80)</f>
        <v>39.749168713885396</v>
      </c>
    </row>
    <row r="82" spans="1:3" ht="12.75">
      <c r="A82" t="s">
        <v>138</v>
      </c>
      <c r="B82" s="1"/>
      <c r="C82" s="1"/>
    </row>
    <row r="83" spans="2:3" ht="12.75">
      <c r="B83" s="1" t="s">
        <v>86</v>
      </c>
      <c r="C83" s="1" t="s">
        <v>87</v>
      </c>
    </row>
    <row r="84" spans="1:5" ht="25.5" customHeight="1">
      <c r="A84" s="2" t="s">
        <v>139</v>
      </c>
      <c r="B84" s="1">
        <f>B60</f>
        <v>41.074</v>
      </c>
      <c r="C84" s="1">
        <f>C60</f>
        <v>56.3</v>
      </c>
      <c r="E84" t="s">
        <v>64</v>
      </c>
    </row>
    <row r="85" spans="1:5" ht="39" customHeight="1">
      <c r="A85" s="2" t="s">
        <v>140</v>
      </c>
      <c r="B85" s="1">
        <f>F67</f>
        <v>52.142943593017634</v>
      </c>
      <c r="C85" s="1">
        <f>G67</f>
        <v>40.63776584683777</v>
      </c>
      <c r="E85" t="s">
        <v>64</v>
      </c>
    </row>
    <row r="86" spans="1:5" ht="39" customHeight="1">
      <c r="A86" s="2" t="s">
        <v>141</v>
      </c>
      <c r="B86" s="1">
        <f>D68</f>
        <v>58.468</v>
      </c>
      <c r="C86" s="1">
        <f>E68</f>
        <v>21.457</v>
      </c>
      <c r="E86" t="s">
        <v>64</v>
      </c>
    </row>
    <row r="87" spans="1:3" ht="25.5" customHeight="1">
      <c r="A87" s="2" t="s">
        <v>142</v>
      </c>
      <c r="B87" s="1">
        <f>D79</f>
        <v>42.09480283909813</v>
      </c>
      <c r="C87" s="1">
        <f>E79</f>
        <v>57.02143022094253</v>
      </c>
    </row>
    <row r="88" spans="1:3" ht="51.75" customHeight="1">
      <c r="A88" s="2" t="s">
        <v>143</v>
      </c>
      <c r="B88" s="1">
        <f>F79</f>
        <v>53.27156117695791</v>
      </c>
      <c r="C88" s="1">
        <f>G79</f>
        <v>41.206641330764</v>
      </c>
    </row>
    <row r="89" spans="1:3" ht="25.5" customHeight="1">
      <c r="A89" s="2" t="s">
        <v>144</v>
      </c>
      <c r="B89" s="1">
        <f>D80</f>
        <v>59.65512044027051</v>
      </c>
      <c r="C89" s="1">
        <f>E80</f>
        <v>21.84846527341767</v>
      </c>
    </row>
    <row r="90" spans="1:3" ht="39" customHeight="1">
      <c r="A90" s="2" t="s">
        <v>145</v>
      </c>
      <c r="B90" s="1">
        <f>(B87+B88)/2</f>
        <v>47.68318200802802</v>
      </c>
      <c r="C90" s="1">
        <f>(C87+C88)/2</f>
        <v>49.11403577585327</v>
      </c>
    </row>
    <row r="91" spans="1:3" ht="39" customHeight="1">
      <c r="A91" s="2" t="s">
        <v>146</v>
      </c>
      <c r="B91" s="1">
        <f>(B88+B89)/2</f>
        <v>56.463340808614205</v>
      </c>
      <c r="C91" s="1">
        <f>(C88+C89)/2</f>
        <v>31.527553302090837</v>
      </c>
    </row>
    <row r="92" spans="1:3" ht="25.5" customHeight="1">
      <c r="A92" s="2" t="s">
        <v>147</v>
      </c>
      <c r="B92" s="1">
        <v>12</v>
      </c>
      <c r="C92" s="1" t="s">
        <v>136</v>
      </c>
    </row>
    <row r="93" spans="1:4" ht="12.75">
      <c r="A93" t="s">
        <v>148</v>
      </c>
      <c r="B93" s="1">
        <f>rsectop+(zsectop-C93)*SIN(ABS(thetau))</f>
        <v>43.19564443585437</v>
      </c>
      <c r="C93" s="1">
        <f>C90+bh/2</f>
        <v>55.11403577585327</v>
      </c>
      <c r="D93" s="2" t="s">
        <v>136</v>
      </c>
    </row>
    <row r="94" spans="1:4" ht="12.75">
      <c r="A94" t="s">
        <v>149</v>
      </c>
      <c r="B94" s="1">
        <f>rsectop+(zsectop-C94)*SIN(ABS(thetau))</f>
        <v>50.12137455690268</v>
      </c>
      <c r="C94" s="1">
        <f>C90-bh/2</f>
        <v>43.11403577585327</v>
      </c>
      <c r="D94" s="2" t="s">
        <v>136</v>
      </c>
    </row>
    <row r="95" spans="1:4" ht="12.75">
      <c r="A95" t="s">
        <v>150</v>
      </c>
      <c r="B95" s="1">
        <f>rpritop+(zpritop-C95)*SIN(ABS(thetal))</f>
        <v>54.423749337815686</v>
      </c>
      <c r="C95" s="1">
        <f>C91+bh/2</f>
        <v>37.52755330209084</v>
      </c>
      <c r="D95" s="2" t="s">
        <v>136</v>
      </c>
    </row>
    <row r="96" spans="1:4" ht="12.75">
      <c r="A96" t="s">
        <v>151</v>
      </c>
      <c r="B96" s="1">
        <f>rpritop+(zpritop-C96)*SIN(ABS(thetal))</f>
        <v>58.18181596262532</v>
      </c>
      <c r="C96" s="1">
        <f>C91-bh/2</f>
        <v>25.527553302090837</v>
      </c>
      <c r="D96" s="2" t="s">
        <v>136</v>
      </c>
    </row>
    <row r="97" spans="2:3" ht="12.75">
      <c r="B97" s="1"/>
      <c r="C97" s="1"/>
    </row>
    <row r="98" spans="1:3" ht="12.75">
      <c r="A98" t="s">
        <v>84</v>
      </c>
      <c r="B98" s="7">
        <v>12</v>
      </c>
      <c r="C98" s="1"/>
    </row>
    <row r="99" spans="1:3" ht="12.75">
      <c r="A99" t="s">
        <v>152</v>
      </c>
      <c r="B99" s="7">
        <v>6</v>
      </c>
      <c r="C99" s="1"/>
    </row>
    <row r="100" spans="1:3" ht="12.75">
      <c r="A100" t="s">
        <v>153</v>
      </c>
      <c r="B100" s="7">
        <f>B98-B99</f>
        <v>6</v>
      </c>
      <c r="C100" s="1"/>
    </row>
    <row r="101" spans="1:3" ht="12.75">
      <c r="A101" t="s">
        <v>154</v>
      </c>
      <c r="B101" s="1">
        <f>H79/B99</f>
        <v>3.227604351458043</v>
      </c>
      <c r="C101" s="1"/>
    </row>
    <row r="102" spans="1:3" ht="12.75">
      <c r="A102" t="s">
        <v>155</v>
      </c>
      <c r="B102" s="1">
        <f>H80/B100</f>
        <v>3.3972571008561894</v>
      </c>
      <c r="C102" s="1"/>
    </row>
    <row r="103" spans="3:20" ht="12.75">
      <c r="C103" t="s">
        <v>156</v>
      </c>
      <c r="D103" t="s">
        <v>73</v>
      </c>
      <c r="E103" s="1" t="s">
        <v>86</v>
      </c>
      <c r="F103" s="1" t="s">
        <v>87</v>
      </c>
      <c r="G103" s="2"/>
      <c r="I103"/>
      <c r="J103"/>
      <c r="K103"/>
      <c r="Q103" s="1"/>
      <c r="R103" s="1"/>
      <c r="S103" s="1"/>
      <c r="T103" s="4"/>
    </row>
    <row r="104" spans="1:20" ht="12.75">
      <c r="A104">
        <v>1</v>
      </c>
      <c r="B104" t="str">
        <f aca="true" t="shared" si="26" ref="B104:B116">IF(A104&lt;=npu+1,"upper","lower")</f>
        <v>upper</v>
      </c>
      <c r="C104">
        <f aca="true" t="shared" si="27" ref="C104:C116">IF(B104="upper",dlu,dll)</f>
        <v>3.227604351458043</v>
      </c>
      <c r="D104">
        <f aca="true" t="shared" si="28" ref="D104:D116">IF(B104="upper",thetau,thetal)</f>
        <v>-0.6152273205354438</v>
      </c>
      <c r="E104" s="1">
        <f>B87</f>
        <v>42.09480283909813</v>
      </c>
      <c r="F104" s="1">
        <f>C87</f>
        <v>57.02143022094253</v>
      </c>
      <c r="G104" s="2"/>
      <c r="I104"/>
      <c r="J104"/>
      <c r="K104"/>
      <c r="Q104" s="1"/>
      <c r="R104" s="1"/>
      <c r="S104" s="1"/>
      <c r="T104" s="4"/>
    </row>
    <row r="105" spans="1:20" ht="12.75">
      <c r="A105">
        <v>2</v>
      </c>
      <c r="B105" t="str">
        <f t="shared" si="26"/>
        <v>upper</v>
      </c>
      <c r="C105">
        <f t="shared" si="27"/>
        <v>3.227604351458043</v>
      </c>
      <c r="D105">
        <f t="shared" si="28"/>
        <v>-0.6152273205354438</v>
      </c>
      <c r="E105" s="1">
        <f aca="true" t="shared" si="29" ref="E105:E116">E104-C105*SIN(D105)</f>
        <v>43.95759589540809</v>
      </c>
      <c r="F105" s="1">
        <f aca="true" t="shared" si="30" ref="F105:F116">F104-C105*COS(D105)</f>
        <v>54.38563207257944</v>
      </c>
      <c r="G105" s="2"/>
      <c r="I105"/>
      <c r="J105"/>
      <c r="K105"/>
      <c r="Q105" s="1"/>
      <c r="R105" s="1"/>
      <c r="S105" s="1"/>
      <c r="T105" s="4"/>
    </row>
    <row r="106" spans="1:20" ht="12.75">
      <c r="A106">
        <v>3</v>
      </c>
      <c r="B106" t="str">
        <f t="shared" si="26"/>
        <v>upper</v>
      </c>
      <c r="C106">
        <f t="shared" si="27"/>
        <v>3.227604351458043</v>
      </c>
      <c r="D106">
        <f t="shared" si="28"/>
        <v>-0.6152273205354438</v>
      </c>
      <c r="E106" s="1">
        <f t="shared" si="29"/>
        <v>45.82038895171805</v>
      </c>
      <c r="F106" s="1">
        <f t="shared" si="30"/>
        <v>51.749833924216354</v>
      </c>
      <c r="G106" s="2"/>
      <c r="I106"/>
      <c r="J106"/>
      <c r="K106"/>
      <c r="Q106" s="1"/>
      <c r="R106" s="1"/>
      <c r="S106" s="1"/>
      <c r="T106" s="4"/>
    </row>
    <row r="107" spans="1:20" ht="12.75">
      <c r="A107">
        <v>4</v>
      </c>
      <c r="B107" t="str">
        <f t="shared" si="26"/>
        <v>upper</v>
      </c>
      <c r="C107">
        <f t="shared" si="27"/>
        <v>3.227604351458043</v>
      </c>
      <c r="D107">
        <f t="shared" si="28"/>
        <v>-0.6152273205354438</v>
      </c>
      <c r="E107" s="1">
        <f t="shared" si="29"/>
        <v>47.68318200802801</v>
      </c>
      <c r="F107" s="1">
        <f t="shared" si="30"/>
        <v>49.11403577585327</v>
      </c>
      <c r="G107" s="2"/>
      <c r="I107"/>
      <c r="J107"/>
      <c r="K107"/>
      <c r="Q107" s="1"/>
      <c r="R107" s="1"/>
      <c r="S107" s="1"/>
      <c r="T107" s="4"/>
    </row>
    <row r="108" spans="1:20" ht="12.75">
      <c r="A108">
        <v>5</v>
      </c>
      <c r="B108" t="str">
        <f t="shared" si="26"/>
        <v>upper</v>
      </c>
      <c r="C108">
        <f t="shared" si="27"/>
        <v>3.227604351458043</v>
      </c>
      <c r="D108">
        <f t="shared" si="28"/>
        <v>-0.6152273205354438</v>
      </c>
      <c r="E108" s="1">
        <f t="shared" si="29"/>
        <v>49.54597506433797</v>
      </c>
      <c r="F108" s="1">
        <f t="shared" si="30"/>
        <v>46.47823762749018</v>
      </c>
      <c r="G108" s="2"/>
      <c r="I108"/>
      <c r="J108"/>
      <c r="K108"/>
      <c r="Q108" s="1"/>
      <c r="R108" s="1"/>
      <c r="S108" s="1"/>
      <c r="T108" s="4"/>
    </row>
    <row r="109" spans="1:20" ht="12.75">
      <c r="A109">
        <v>6</v>
      </c>
      <c r="B109" t="str">
        <f t="shared" si="26"/>
        <v>upper</v>
      </c>
      <c r="C109">
        <f t="shared" si="27"/>
        <v>3.227604351458043</v>
      </c>
      <c r="D109">
        <f t="shared" si="28"/>
        <v>-0.6152273205354438</v>
      </c>
      <c r="E109" s="1">
        <f t="shared" si="29"/>
        <v>51.408768120647935</v>
      </c>
      <c r="F109" s="1">
        <f t="shared" si="30"/>
        <v>43.842439479127094</v>
      </c>
      <c r="G109" s="2"/>
      <c r="I109"/>
      <c r="J109"/>
      <c r="K109"/>
      <c r="Q109" s="1"/>
      <c r="R109" s="1"/>
      <c r="S109" s="1"/>
      <c r="T109" s="4"/>
    </row>
    <row r="110" spans="1:20" ht="12.75">
      <c r="A110">
        <v>7</v>
      </c>
      <c r="B110" t="str">
        <f t="shared" si="26"/>
        <v>upper</v>
      </c>
      <c r="C110">
        <f t="shared" si="27"/>
        <v>3.227604351458043</v>
      </c>
      <c r="D110">
        <f t="shared" si="28"/>
        <v>-0.6152273205354438</v>
      </c>
      <c r="E110" s="1">
        <f t="shared" si="29"/>
        <v>53.271561176957896</v>
      </c>
      <c r="F110" s="1">
        <f t="shared" si="30"/>
        <v>41.20664133076401</v>
      </c>
      <c r="G110" s="2"/>
      <c r="I110"/>
      <c r="J110" t="s">
        <v>64</v>
      </c>
      <c r="K110"/>
      <c r="Q110" s="1"/>
      <c r="R110" s="1"/>
      <c r="S110" s="1"/>
      <c r="T110" s="4"/>
    </row>
    <row r="111" spans="1:20" ht="12.75">
      <c r="A111">
        <v>8</v>
      </c>
      <c r="B111" t="str">
        <f t="shared" si="26"/>
        <v>lower</v>
      </c>
      <c r="C111">
        <f t="shared" si="27"/>
        <v>3.3972571008561894</v>
      </c>
      <c r="D111">
        <f t="shared" si="28"/>
        <v>-0.31853144630765784</v>
      </c>
      <c r="E111" s="1">
        <f t="shared" si="29"/>
        <v>54.335487720843325</v>
      </c>
      <c r="F111" s="1">
        <f t="shared" si="30"/>
        <v>37.98027865453962</v>
      </c>
      <c r="G111" s="2"/>
      <c r="H111" t="s">
        <v>64</v>
      </c>
      <c r="I111"/>
      <c r="J111"/>
      <c r="K111"/>
      <c r="N111" s="4" t="s">
        <v>64</v>
      </c>
      <c r="Q111" s="1"/>
      <c r="R111" s="1"/>
      <c r="S111" s="1"/>
      <c r="T111" s="4"/>
    </row>
    <row r="112" spans="1:20" ht="12.75">
      <c r="A112">
        <v>9</v>
      </c>
      <c r="B112" t="str">
        <f t="shared" si="26"/>
        <v>lower</v>
      </c>
      <c r="C112">
        <f t="shared" si="27"/>
        <v>3.3972571008561894</v>
      </c>
      <c r="D112">
        <f t="shared" si="28"/>
        <v>-0.31853144630765784</v>
      </c>
      <c r="E112" s="1">
        <f t="shared" si="29"/>
        <v>55.399414264728755</v>
      </c>
      <c r="F112" s="1">
        <f t="shared" si="30"/>
        <v>34.75391597831523</v>
      </c>
      <c r="G112" s="2"/>
      <c r="H112" t="s">
        <v>64</v>
      </c>
      <c r="I112"/>
      <c r="J112"/>
      <c r="K112"/>
      <c r="Q112" s="1"/>
      <c r="R112" s="1"/>
      <c r="S112" s="1"/>
      <c r="T112" s="4"/>
    </row>
    <row r="113" spans="1:20" ht="12.75">
      <c r="A113">
        <v>10</v>
      </c>
      <c r="B113" t="str">
        <f t="shared" si="26"/>
        <v>lower</v>
      </c>
      <c r="C113">
        <f t="shared" si="27"/>
        <v>3.3972571008561894</v>
      </c>
      <c r="D113">
        <f t="shared" si="28"/>
        <v>-0.31853144630765784</v>
      </c>
      <c r="E113" s="1">
        <f t="shared" si="29"/>
        <v>56.463340808614184</v>
      </c>
      <c r="F113" s="1">
        <f t="shared" si="30"/>
        <v>31.527553302090837</v>
      </c>
      <c r="G113" s="2"/>
      <c r="I113"/>
      <c r="J113"/>
      <c r="K113"/>
      <c r="Q113" s="1"/>
      <c r="R113" s="1"/>
      <c r="S113" s="1"/>
      <c r="T113" s="4"/>
    </row>
    <row r="114" spans="1:20" ht="12.75">
      <c r="A114">
        <v>11</v>
      </c>
      <c r="B114" t="str">
        <f t="shared" si="26"/>
        <v>lower</v>
      </c>
      <c r="C114">
        <f t="shared" si="27"/>
        <v>3.3972571008561894</v>
      </c>
      <c r="D114">
        <f t="shared" si="28"/>
        <v>-0.31853144630765784</v>
      </c>
      <c r="E114" s="1">
        <f t="shared" si="29"/>
        <v>57.527267352499614</v>
      </c>
      <c r="F114" s="1">
        <f t="shared" si="30"/>
        <v>28.301190625866447</v>
      </c>
      <c r="G114" s="2"/>
      <c r="I114"/>
      <c r="J114"/>
      <c r="K114"/>
      <c r="Q114" s="1"/>
      <c r="R114" s="1"/>
      <c r="S114" s="1"/>
      <c r="T114" s="4"/>
    </row>
    <row r="115" spans="1:20" ht="12.75">
      <c r="A115">
        <v>12</v>
      </c>
      <c r="B115" t="str">
        <f t="shared" si="26"/>
        <v>lower</v>
      </c>
      <c r="C115">
        <f t="shared" si="27"/>
        <v>3.3972571008561894</v>
      </c>
      <c r="D115">
        <f t="shared" si="28"/>
        <v>-0.31853144630765784</v>
      </c>
      <c r="E115" s="1">
        <f t="shared" si="29"/>
        <v>58.59119389638504</v>
      </c>
      <c r="F115" s="1">
        <f t="shared" si="30"/>
        <v>25.074827949642057</v>
      </c>
      <c r="G115" s="2"/>
      <c r="I115"/>
      <c r="J115"/>
      <c r="K115"/>
      <c r="Q115" s="1"/>
      <c r="R115" s="1"/>
      <c r="S115" s="1"/>
      <c r="T115" s="4"/>
    </row>
    <row r="116" spans="1:20" ht="12.75">
      <c r="A116">
        <v>13</v>
      </c>
      <c r="B116" t="str">
        <f t="shared" si="26"/>
        <v>lower</v>
      </c>
      <c r="C116">
        <f t="shared" si="27"/>
        <v>3.3972571008561894</v>
      </c>
      <c r="D116">
        <f t="shared" si="28"/>
        <v>-0.31853144630765784</v>
      </c>
      <c r="E116" s="1">
        <f t="shared" si="29"/>
        <v>59.65512044027047</v>
      </c>
      <c r="F116" s="1">
        <f t="shared" si="30"/>
        <v>21.848465273417666</v>
      </c>
      <c r="G116" s="2"/>
      <c r="I116"/>
      <c r="J116"/>
      <c r="K116"/>
      <c r="Q116" s="1"/>
      <c r="R116" s="1"/>
      <c r="S116" s="1"/>
      <c r="T116" s="4"/>
    </row>
    <row r="118" spans="1:21" s="2" customFormat="1" ht="39" customHeight="1">
      <c r="A118" s="2" t="s">
        <v>85</v>
      </c>
      <c r="B118" s="2" t="s">
        <v>86</v>
      </c>
      <c r="C118" s="2" t="s">
        <v>87</v>
      </c>
      <c r="D118" s="2" t="s">
        <v>85</v>
      </c>
      <c r="E118" s="2" t="s">
        <v>86</v>
      </c>
      <c r="F118" s="2" t="s">
        <v>87</v>
      </c>
      <c r="G118" s="2" t="s">
        <v>85</v>
      </c>
      <c r="H118" s="2" t="s">
        <v>89</v>
      </c>
      <c r="I118" s="3" t="s">
        <v>90</v>
      </c>
      <c r="J118" s="3" t="s">
        <v>91</v>
      </c>
      <c r="K118" s="3" t="s">
        <v>92</v>
      </c>
      <c r="L118" s="3" t="s">
        <v>93</v>
      </c>
      <c r="M118" s="3" t="s">
        <v>94</v>
      </c>
      <c r="N118" s="3" t="s">
        <v>95</v>
      </c>
      <c r="O118" s="5" t="s">
        <v>96</v>
      </c>
      <c r="P118" s="3" t="s">
        <v>97</v>
      </c>
      <c r="Q118" s="5" t="s">
        <v>98</v>
      </c>
      <c r="R118" s="3" t="s">
        <v>86</v>
      </c>
      <c r="S118" s="3" t="s">
        <v>87</v>
      </c>
      <c r="T118" s="2" t="s">
        <v>157</v>
      </c>
      <c r="U118" s="5" t="s">
        <v>158</v>
      </c>
    </row>
    <row r="119" spans="2:21" s="2" customFormat="1" ht="39" customHeight="1">
      <c r="B119" s="2" t="s">
        <v>107</v>
      </c>
      <c r="C119" s="2" t="s">
        <v>107</v>
      </c>
      <c r="D119" s="2" t="s">
        <v>64</v>
      </c>
      <c r="E119" s="2" t="s">
        <v>107</v>
      </c>
      <c r="F119" s="2" t="s">
        <v>107</v>
      </c>
      <c r="G119" s="2" t="s">
        <v>64</v>
      </c>
      <c r="H119" s="2" t="s">
        <v>107</v>
      </c>
      <c r="I119" s="2" t="s">
        <v>109</v>
      </c>
      <c r="J119" s="2" t="s">
        <v>107</v>
      </c>
      <c r="K119" s="2" t="s">
        <v>107</v>
      </c>
      <c r="L119" s="2" t="s">
        <v>107</v>
      </c>
      <c r="M119" s="2" t="s">
        <v>107</v>
      </c>
      <c r="N119" s="2" t="s">
        <v>107</v>
      </c>
      <c r="O119" s="5" t="s">
        <v>107</v>
      </c>
      <c r="P119" s="3" t="s">
        <v>110</v>
      </c>
      <c r="Q119" s="5" t="s">
        <v>111</v>
      </c>
      <c r="R119" s="2" t="s">
        <v>159</v>
      </c>
      <c r="S119" s="2" t="s">
        <v>159</v>
      </c>
      <c r="T119" s="2" t="s">
        <v>159</v>
      </c>
      <c r="U119" s="5" t="s">
        <v>159</v>
      </c>
    </row>
    <row r="120" spans="1:22" ht="12.75">
      <c r="A120">
        <f aca="true" t="shared" si="31" ref="A120:A132">A104</f>
        <v>1</v>
      </c>
      <c r="B120" s="1">
        <f aca="true" t="shared" si="32" ref="B120:B132">E104</f>
        <v>42.09480283909813</v>
      </c>
      <c r="C120" s="1">
        <f aca="true" t="shared" si="33" ref="C120:C132">F104</f>
        <v>57.02143022094253</v>
      </c>
      <c r="D120" s="2">
        <f aca="true" t="shared" si="34" ref="D120:D131">A121</f>
        <v>2</v>
      </c>
      <c r="E120" s="1">
        <f aca="true" t="shared" si="35" ref="E120:E131">B121</f>
        <v>43.95759589540809</v>
      </c>
      <c r="F120" s="1">
        <f aca="true" t="shared" si="36" ref="F120:F131">C121</f>
        <v>54.38563207257944</v>
      </c>
      <c r="G120">
        <v>1</v>
      </c>
      <c r="H120" s="1">
        <f aca="true" t="shared" si="37" ref="H120:H131">SQRT((B120-E120)^2+(C120-F120)^2)</f>
        <v>3.227604351458041</v>
      </c>
      <c r="I120" s="1">
        <f aca="true" t="shared" si="38" ref="I120:I131">ASIN(ABS(B120-E120)/H120)</f>
        <v>0.6152273205354435</v>
      </c>
      <c r="J120" s="1">
        <f aca="true" t="shared" si="39" ref="J120:J131">H120/2*SIN(I120)</f>
        <v>0.9313965281549805</v>
      </c>
      <c r="K120" s="1">
        <f aca="true" t="shared" si="40" ref="K120:K131">-H120/2*COS(I120)</f>
        <v>-1.3178990741815433</v>
      </c>
      <c r="L120" s="1">
        <f aca="true" t="shared" si="41" ref="L120:L131">MIN(B120,E120)+J120</f>
        <v>43.02619936725311</v>
      </c>
      <c r="M120" s="1">
        <f aca="true" t="shared" si="42" ref="M120:M131">MAX(C120,F120)+K120</f>
        <v>55.70353114676098</v>
      </c>
      <c r="N120" s="1">
        <v>0.5</v>
      </c>
      <c r="O120" s="4">
        <f aca="true" t="shared" si="43" ref="O120:O131">2*PI()*L120</f>
        <v>270.3415836881044</v>
      </c>
      <c r="P120" s="1">
        <f aca="true" t="shared" si="44" ref="P120:P131">H120*N120</f>
        <v>1.6138021757290204</v>
      </c>
      <c r="Q120" s="4">
        <f aca="true" t="shared" si="45" ref="Q120:Q131">rescopper*100/2.54*O120/P120</f>
        <v>0.0001137014758348873</v>
      </c>
      <c r="R120" t="s">
        <v>64</v>
      </c>
      <c r="S120" t="s">
        <v>64</v>
      </c>
      <c r="T120" s="1"/>
      <c r="V120" s="1"/>
    </row>
    <row r="121" spans="1:22" ht="12.75">
      <c r="A121">
        <f t="shared" si="31"/>
        <v>2</v>
      </c>
      <c r="B121" s="1">
        <f t="shared" si="32"/>
        <v>43.95759589540809</v>
      </c>
      <c r="C121" s="1">
        <f t="shared" si="33"/>
        <v>54.38563207257944</v>
      </c>
      <c r="D121" s="2">
        <f t="shared" si="34"/>
        <v>3</v>
      </c>
      <c r="E121" s="1">
        <f t="shared" si="35"/>
        <v>45.82038895171805</v>
      </c>
      <c r="F121" s="1">
        <f t="shared" si="36"/>
        <v>51.749833924216354</v>
      </c>
      <c r="G121">
        <f aca="true" t="shared" si="46" ref="G121:G131">G120+1</f>
        <v>2</v>
      </c>
      <c r="H121" s="1">
        <f t="shared" si="37"/>
        <v>3.227604351458041</v>
      </c>
      <c r="I121" s="1">
        <f t="shared" si="38"/>
        <v>0.6152273205354435</v>
      </c>
      <c r="J121" s="1">
        <f t="shared" si="39"/>
        <v>0.9313965281549805</v>
      </c>
      <c r="K121" s="1">
        <f t="shared" si="40"/>
        <v>-1.3178990741815433</v>
      </c>
      <c r="L121" s="1">
        <f t="shared" si="41"/>
        <v>44.88899242356307</v>
      </c>
      <c r="M121" s="1">
        <f t="shared" si="42"/>
        <v>53.0677329983979</v>
      </c>
      <c r="N121" s="1">
        <v>0.5</v>
      </c>
      <c r="O121" s="4">
        <f t="shared" si="43"/>
        <v>282.0458576498272</v>
      </c>
      <c r="P121" s="1">
        <f t="shared" si="44"/>
        <v>1.6138021757290204</v>
      </c>
      <c r="Q121" s="4">
        <f t="shared" si="45"/>
        <v>0.00011862411187507219</v>
      </c>
      <c r="R121">
        <f aca="true" t="shared" si="47" ref="R121:S123">L121*2.54</f>
        <v>114.0180407558502</v>
      </c>
      <c r="S121">
        <f t="shared" si="47"/>
        <v>134.79204181593067</v>
      </c>
      <c r="T121" s="1">
        <f>SQRT(P121)*2.54</f>
        <v>3.226702049606277</v>
      </c>
      <c r="U121" s="4">
        <f>T121</f>
        <v>3.226702049606277</v>
      </c>
      <c r="V121" s="1"/>
    </row>
    <row r="122" spans="1:22" ht="12.75">
      <c r="A122">
        <f t="shared" si="31"/>
        <v>3</v>
      </c>
      <c r="B122" s="1">
        <f t="shared" si="32"/>
        <v>45.82038895171805</v>
      </c>
      <c r="C122" s="1">
        <f t="shared" si="33"/>
        <v>51.749833924216354</v>
      </c>
      <c r="D122" s="2">
        <f t="shared" si="34"/>
        <v>4</v>
      </c>
      <c r="E122" s="1">
        <f t="shared" si="35"/>
        <v>47.68318200802801</v>
      </c>
      <c r="F122" s="1">
        <f t="shared" si="36"/>
        <v>49.11403577585327</v>
      </c>
      <c r="G122">
        <f t="shared" si="46"/>
        <v>3</v>
      </c>
      <c r="H122" s="1">
        <f t="shared" si="37"/>
        <v>3.227604351458041</v>
      </c>
      <c r="I122" s="1">
        <f t="shared" si="38"/>
        <v>0.6152273205354435</v>
      </c>
      <c r="J122" s="1">
        <f t="shared" si="39"/>
        <v>0.9313965281549805</v>
      </c>
      <c r="K122" s="1">
        <f t="shared" si="40"/>
        <v>-1.3178990741815433</v>
      </c>
      <c r="L122" s="1">
        <f t="shared" si="41"/>
        <v>46.751785479873035</v>
      </c>
      <c r="M122" s="1">
        <f t="shared" si="42"/>
        <v>50.43193485003481</v>
      </c>
      <c r="N122" s="1">
        <v>0.5</v>
      </c>
      <c r="O122" s="4">
        <f t="shared" si="43"/>
        <v>293.75013161155016</v>
      </c>
      <c r="P122" s="1">
        <f t="shared" si="44"/>
        <v>1.6138021757290204</v>
      </c>
      <c r="Q122" s="4">
        <f t="shared" si="45"/>
        <v>0.00012354674791525716</v>
      </c>
      <c r="R122">
        <f t="shared" si="47"/>
        <v>118.74953511887752</v>
      </c>
      <c r="S122">
        <f t="shared" si="47"/>
        <v>128.09711451908842</v>
      </c>
      <c r="T122" s="1">
        <f>SQRT(P122)*2.54</f>
        <v>3.226702049606277</v>
      </c>
      <c r="U122" s="4">
        <f>T122</f>
        <v>3.226702049606277</v>
      </c>
      <c r="V122" s="1"/>
    </row>
    <row r="123" spans="1:22" ht="12.75">
      <c r="A123">
        <f t="shared" si="31"/>
        <v>4</v>
      </c>
      <c r="B123" s="1">
        <f t="shared" si="32"/>
        <v>47.68318200802801</v>
      </c>
      <c r="C123" s="1">
        <f t="shared" si="33"/>
        <v>49.11403577585327</v>
      </c>
      <c r="D123" s="2">
        <f t="shared" si="34"/>
        <v>5</v>
      </c>
      <c r="E123" s="1">
        <f t="shared" si="35"/>
        <v>49.54597506433797</v>
      </c>
      <c r="F123" s="1">
        <f t="shared" si="36"/>
        <v>46.47823762749018</v>
      </c>
      <c r="G123">
        <f t="shared" si="46"/>
        <v>4</v>
      </c>
      <c r="H123" s="1">
        <f t="shared" si="37"/>
        <v>3.227604351458041</v>
      </c>
      <c r="I123" s="1">
        <f t="shared" si="38"/>
        <v>0.6152273205354435</v>
      </c>
      <c r="J123" s="1">
        <f t="shared" si="39"/>
        <v>0.9313965281549805</v>
      </c>
      <c r="K123" s="1">
        <f t="shared" si="40"/>
        <v>-1.3178990741815433</v>
      </c>
      <c r="L123" s="1">
        <f t="shared" si="41"/>
        <v>48.61457853618299</v>
      </c>
      <c r="M123" s="1">
        <f t="shared" si="42"/>
        <v>47.79613670167173</v>
      </c>
      <c r="N123" s="1">
        <v>0.5</v>
      </c>
      <c r="O123" s="4">
        <f t="shared" si="43"/>
        <v>305.45440557327305</v>
      </c>
      <c r="P123" s="1">
        <f t="shared" si="44"/>
        <v>1.6138021757290204</v>
      </c>
      <c r="Q123" s="4">
        <f t="shared" si="45"/>
        <v>0.0001284693839554421</v>
      </c>
      <c r="R123">
        <f t="shared" si="47"/>
        <v>123.4810294819048</v>
      </c>
      <c r="S123">
        <f t="shared" si="47"/>
        <v>121.40218722224618</v>
      </c>
      <c r="T123" s="1">
        <f>SQRT(P123)*2.54</f>
        <v>3.226702049606277</v>
      </c>
      <c r="U123" s="4">
        <f>T123</f>
        <v>3.226702049606277</v>
      </c>
      <c r="V123" s="1"/>
    </row>
    <row r="124" spans="1:22" ht="12.75">
      <c r="A124">
        <f t="shared" si="31"/>
        <v>5</v>
      </c>
      <c r="B124" s="1">
        <f t="shared" si="32"/>
        <v>49.54597506433797</v>
      </c>
      <c r="C124" s="1">
        <f t="shared" si="33"/>
        <v>46.47823762749018</v>
      </c>
      <c r="D124" s="2">
        <f t="shared" si="34"/>
        <v>6</v>
      </c>
      <c r="E124" s="1">
        <f t="shared" si="35"/>
        <v>51.408768120647935</v>
      </c>
      <c r="F124" s="1">
        <f t="shared" si="36"/>
        <v>43.842439479127094</v>
      </c>
      <c r="G124">
        <f t="shared" si="46"/>
        <v>5</v>
      </c>
      <c r="H124" s="1">
        <f t="shared" si="37"/>
        <v>3.227604351458041</v>
      </c>
      <c r="I124" s="1">
        <f t="shared" si="38"/>
        <v>0.6152273205354435</v>
      </c>
      <c r="J124" s="1">
        <f t="shared" si="39"/>
        <v>0.9313965281549805</v>
      </c>
      <c r="K124" s="1">
        <f t="shared" si="40"/>
        <v>-1.3178990741815433</v>
      </c>
      <c r="L124" s="1">
        <f t="shared" si="41"/>
        <v>50.47737159249296</v>
      </c>
      <c r="M124" s="1">
        <f t="shared" si="42"/>
        <v>45.160338553308634</v>
      </c>
      <c r="N124" s="1">
        <v>0.5</v>
      </c>
      <c r="O124" s="4">
        <f t="shared" si="43"/>
        <v>317.158679534996</v>
      </c>
      <c r="P124" s="1">
        <f t="shared" si="44"/>
        <v>1.6138021757290204</v>
      </c>
      <c r="Q124" s="4">
        <f t="shared" si="45"/>
        <v>0.00013339201999562706</v>
      </c>
      <c r="R124" t="s">
        <v>64</v>
      </c>
      <c r="S124" t="s">
        <v>64</v>
      </c>
      <c r="T124" s="1" t="s">
        <v>64</v>
      </c>
      <c r="U124" s="4" t="s">
        <v>64</v>
      </c>
      <c r="V124" s="1"/>
    </row>
    <row r="125" spans="1:22" ht="12.75">
      <c r="A125">
        <f t="shared" si="31"/>
        <v>6</v>
      </c>
      <c r="B125" s="1">
        <f t="shared" si="32"/>
        <v>51.408768120647935</v>
      </c>
      <c r="C125" s="1">
        <f t="shared" si="33"/>
        <v>43.842439479127094</v>
      </c>
      <c r="D125" s="2">
        <f t="shared" si="34"/>
        <v>7</v>
      </c>
      <c r="E125" s="1">
        <f t="shared" si="35"/>
        <v>53.271561176957896</v>
      </c>
      <c r="F125" s="1">
        <f t="shared" si="36"/>
        <v>41.20664133076401</v>
      </c>
      <c r="G125">
        <f t="shared" si="46"/>
        <v>6</v>
      </c>
      <c r="H125" s="1">
        <f t="shared" si="37"/>
        <v>3.227604351458041</v>
      </c>
      <c r="I125" s="1">
        <f t="shared" si="38"/>
        <v>0.6152273205354435</v>
      </c>
      <c r="J125" s="1">
        <f t="shared" si="39"/>
        <v>0.9313965281549805</v>
      </c>
      <c r="K125" s="1">
        <f t="shared" si="40"/>
        <v>-1.3178990741815433</v>
      </c>
      <c r="L125" s="1">
        <f t="shared" si="41"/>
        <v>52.34016464880291</v>
      </c>
      <c r="M125" s="1">
        <f t="shared" si="42"/>
        <v>42.524540404945554</v>
      </c>
      <c r="N125" s="1">
        <v>0.5</v>
      </c>
      <c r="O125" s="4">
        <f t="shared" si="43"/>
        <v>328.86295349671883</v>
      </c>
      <c r="P125" s="1">
        <f t="shared" si="44"/>
        <v>1.6138021757290204</v>
      </c>
      <c r="Q125" s="4">
        <f t="shared" si="45"/>
        <v>0.00013831465603581197</v>
      </c>
      <c r="R125" t="s">
        <v>64</v>
      </c>
      <c r="S125" t="s">
        <v>64</v>
      </c>
      <c r="T125" s="1" t="s">
        <v>64</v>
      </c>
      <c r="U125" s="4" t="s">
        <v>64</v>
      </c>
      <c r="V125" s="1"/>
    </row>
    <row r="126" spans="1:22" ht="12.75">
      <c r="A126">
        <f t="shared" si="31"/>
        <v>7</v>
      </c>
      <c r="B126" s="1">
        <f t="shared" si="32"/>
        <v>53.271561176957896</v>
      </c>
      <c r="C126" s="1">
        <f t="shared" si="33"/>
        <v>41.20664133076401</v>
      </c>
      <c r="D126" s="2">
        <f t="shared" si="34"/>
        <v>8</v>
      </c>
      <c r="E126" s="1">
        <f t="shared" si="35"/>
        <v>54.335487720843325</v>
      </c>
      <c r="F126" s="1">
        <f t="shared" si="36"/>
        <v>37.98027865453962</v>
      </c>
      <c r="G126">
        <f t="shared" si="46"/>
        <v>7</v>
      </c>
      <c r="H126" s="1">
        <f t="shared" si="37"/>
        <v>3.39725710085619</v>
      </c>
      <c r="I126" s="1">
        <f t="shared" si="38"/>
        <v>0.31853144630765684</v>
      </c>
      <c r="J126" s="1">
        <f t="shared" si="39"/>
        <v>0.5319632719427148</v>
      </c>
      <c r="K126" s="1">
        <f t="shared" si="40"/>
        <v>-1.613181338112195</v>
      </c>
      <c r="L126" s="1">
        <f t="shared" si="41"/>
        <v>53.80352444890061</v>
      </c>
      <c r="M126" s="1">
        <f t="shared" si="42"/>
        <v>39.593459992651816</v>
      </c>
      <c r="N126" s="1">
        <v>0.5</v>
      </c>
      <c r="O126" s="4">
        <f t="shared" si="43"/>
        <v>338.05751429181</v>
      </c>
      <c r="P126" s="1">
        <f t="shared" si="44"/>
        <v>1.698628550428095</v>
      </c>
      <c r="Q126" s="4">
        <f t="shared" si="45"/>
        <v>0.00013508145169819458</v>
      </c>
      <c r="R126">
        <f>L126*2.54</f>
        <v>136.66095210020754</v>
      </c>
      <c r="S126">
        <f>M126*2.54</f>
        <v>100.56738838133562</v>
      </c>
      <c r="T126" s="1">
        <f>SQRT(P126)*2.54</f>
        <v>3.3104186979809516</v>
      </c>
      <c r="U126" s="4">
        <f>T126</f>
        <v>3.3104186979809516</v>
      </c>
      <c r="V126" s="1"/>
    </row>
    <row r="127" spans="1:22" ht="12.75">
      <c r="A127">
        <f t="shared" si="31"/>
        <v>8</v>
      </c>
      <c r="B127" s="1">
        <f t="shared" si="32"/>
        <v>54.335487720843325</v>
      </c>
      <c r="C127" s="1">
        <f t="shared" si="33"/>
        <v>37.98027865453962</v>
      </c>
      <c r="D127" s="2">
        <f t="shared" si="34"/>
        <v>9</v>
      </c>
      <c r="E127" s="1">
        <f t="shared" si="35"/>
        <v>55.399414264728755</v>
      </c>
      <c r="F127" s="1">
        <f t="shared" si="36"/>
        <v>34.75391597831523</v>
      </c>
      <c r="G127">
        <f t="shared" si="46"/>
        <v>8</v>
      </c>
      <c r="H127" s="1">
        <f t="shared" si="37"/>
        <v>3.39725710085619</v>
      </c>
      <c r="I127" s="1">
        <f t="shared" si="38"/>
        <v>0.31853144630765684</v>
      </c>
      <c r="J127" s="1">
        <f t="shared" si="39"/>
        <v>0.5319632719427148</v>
      </c>
      <c r="K127" s="1">
        <f t="shared" si="40"/>
        <v>-1.613181338112195</v>
      </c>
      <c r="L127" s="1">
        <f t="shared" si="41"/>
        <v>54.86745099278604</v>
      </c>
      <c r="M127" s="1">
        <f t="shared" si="42"/>
        <v>36.36709731642742</v>
      </c>
      <c r="N127" s="1">
        <v>0.5</v>
      </c>
      <c r="O127" s="4">
        <f t="shared" si="43"/>
        <v>344.7423619202693</v>
      </c>
      <c r="P127" s="1">
        <f t="shared" si="44"/>
        <v>1.698628550428095</v>
      </c>
      <c r="Q127" s="4">
        <f t="shared" si="45"/>
        <v>0.00013775259161923786</v>
      </c>
      <c r="R127" t="s">
        <v>64</v>
      </c>
      <c r="S127" t="s">
        <v>64</v>
      </c>
      <c r="T127" s="1" t="s">
        <v>64</v>
      </c>
      <c r="U127" s="4" t="s">
        <v>64</v>
      </c>
      <c r="V127" s="1"/>
    </row>
    <row r="128" spans="1:22" ht="12.75">
      <c r="A128">
        <f t="shared" si="31"/>
        <v>9</v>
      </c>
      <c r="B128" s="1">
        <f t="shared" si="32"/>
        <v>55.399414264728755</v>
      </c>
      <c r="C128" s="1">
        <f t="shared" si="33"/>
        <v>34.75391597831523</v>
      </c>
      <c r="D128" s="2">
        <f t="shared" si="34"/>
        <v>10</v>
      </c>
      <c r="E128" s="1">
        <f t="shared" si="35"/>
        <v>56.463340808614184</v>
      </c>
      <c r="F128" s="1">
        <f t="shared" si="36"/>
        <v>31.527553302090837</v>
      </c>
      <c r="G128">
        <f t="shared" si="46"/>
        <v>9</v>
      </c>
      <c r="H128" s="1">
        <f t="shared" si="37"/>
        <v>3.39725710085619</v>
      </c>
      <c r="I128" s="1">
        <f t="shared" si="38"/>
        <v>0.31853144630765684</v>
      </c>
      <c r="J128" s="1">
        <f t="shared" si="39"/>
        <v>0.5319632719427148</v>
      </c>
      <c r="K128" s="1">
        <f t="shared" si="40"/>
        <v>-1.613181338112195</v>
      </c>
      <c r="L128" s="1">
        <f t="shared" si="41"/>
        <v>55.93137753667147</v>
      </c>
      <c r="M128" s="1">
        <f t="shared" si="42"/>
        <v>33.140734640203036</v>
      </c>
      <c r="N128" s="1">
        <v>0.5</v>
      </c>
      <c r="O128" s="4">
        <f t="shared" si="43"/>
        <v>351.4272095487285</v>
      </c>
      <c r="P128" s="1">
        <f t="shared" si="44"/>
        <v>1.698628550428095</v>
      </c>
      <c r="Q128" s="4">
        <f t="shared" si="45"/>
        <v>0.00014042373154028113</v>
      </c>
      <c r="R128">
        <f>L128*2.54</f>
        <v>142.06569894314552</v>
      </c>
      <c r="S128">
        <f>M128*2.54</f>
        <v>84.1774659861157</v>
      </c>
      <c r="T128" s="1">
        <f>SQRT(P128)*2.54</f>
        <v>3.3104186979809516</v>
      </c>
      <c r="U128" s="4">
        <f>T128</f>
        <v>3.3104186979809516</v>
      </c>
      <c r="V128" s="1"/>
    </row>
    <row r="129" spans="1:22" ht="12.75">
      <c r="A129">
        <f t="shared" si="31"/>
        <v>10</v>
      </c>
      <c r="B129" s="1">
        <f t="shared" si="32"/>
        <v>56.463340808614184</v>
      </c>
      <c r="C129" s="1">
        <f t="shared" si="33"/>
        <v>31.527553302090837</v>
      </c>
      <c r="D129" s="2">
        <f t="shared" si="34"/>
        <v>11</v>
      </c>
      <c r="E129" s="1">
        <f t="shared" si="35"/>
        <v>57.527267352499614</v>
      </c>
      <c r="F129" s="1">
        <f t="shared" si="36"/>
        <v>28.301190625866447</v>
      </c>
      <c r="G129">
        <f t="shared" si="46"/>
        <v>10</v>
      </c>
      <c r="H129" s="1">
        <f t="shared" si="37"/>
        <v>3.39725710085619</v>
      </c>
      <c r="I129" s="1">
        <f t="shared" si="38"/>
        <v>0.31853144630765684</v>
      </c>
      <c r="J129" s="1">
        <f t="shared" si="39"/>
        <v>0.5319632719427148</v>
      </c>
      <c r="K129" s="1">
        <f t="shared" si="40"/>
        <v>-1.613181338112195</v>
      </c>
      <c r="L129" s="1">
        <f t="shared" si="41"/>
        <v>56.9953040805569</v>
      </c>
      <c r="M129" s="1">
        <f t="shared" si="42"/>
        <v>29.914371963978642</v>
      </c>
      <c r="N129" s="1">
        <v>0.5</v>
      </c>
      <c r="O129" s="4">
        <f t="shared" si="43"/>
        <v>358.1120571771878</v>
      </c>
      <c r="P129" s="1">
        <f t="shared" si="44"/>
        <v>1.698628550428095</v>
      </c>
      <c r="Q129" s="4">
        <f t="shared" si="45"/>
        <v>0.0001430948714613244</v>
      </c>
      <c r="R129" t="s">
        <v>64</v>
      </c>
      <c r="S129" t="s">
        <v>64</v>
      </c>
      <c r="T129" s="1" t="s">
        <v>64</v>
      </c>
      <c r="U129" s="4" t="s">
        <v>64</v>
      </c>
      <c r="V129" s="1"/>
    </row>
    <row r="130" spans="1:22" ht="12.75">
      <c r="A130">
        <f t="shared" si="31"/>
        <v>11</v>
      </c>
      <c r="B130" s="1">
        <f t="shared" si="32"/>
        <v>57.527267352499614</v>
      </c>
      <c r="C130" s="1">
        <f t="shared" si="33"/>
        <v>28.301190625866447</v>
      </c>
      <c r="D130" s="2">
        <f t="shared" si="34"/>
        <v>12</v>
      </c>
      <c r="E130" s="1">
        <f t="shared" si="35"/>
        <v>58.59119389638504</v>
      </c>
      <c r="F130" s="1">
        <f t="shared" si="36"/>
        <v>25.074827949642057</v>
      </c>
      <c r="G130">
        <f t="shared" si="46"/>
        <v>11</v>
      </c>
      <c r="H130" s="1">
        <f t="shared" si="37"/>
        <v>3.39725710085619</v>
      </c>
      <c r="I130" s="1">
        <f t="shared" si="38"/>
        <v>0.31853144630765684</v>
      </c>
      <c r="J130" s="1">
        <f t="shared" si="39"/>
        <v>0.5319632719427148</v>
      </c>
      <c r="K130" s="1">
        <f t="shared" si="40"/>
        <v>-1.613181338112195</v>
      </c>
      <c r="L130" s="1">
        <f t="shared" si="41"/>
        <v>58.05923062444233</v>
      </c>
      <c r="M130" s="1">
        <f t="shared" si="42"/>
        <v>26.68800928775425</v>
      </c>
      <c r="N130" s="1">
        <v>0.5</v>
      </c>
      <c r="O130" s="4">
        <f t="shared" si="43"/>
        <v>364.7969048056471</v>
      </c>
      <c r="P130" s="1">
        <f t="shared" si="44"/>
        <v>1.698628550428095</v>
      </c>
      <c r="Q130" s="4">
        <f t="shared" si="45"/>
        <v>0.0001457660113823677</v>
      </c>
      <c r="R130">
        <f>L130*2.54</f>
        <v>147.4704457860835</v>
      </c>
      <c r="S130">
        <f>M130*2.54</f>
        <v>67.7875435908958</v>
      </c>
      <c r="T130" s="1">
        <f>SQRT(P130)*2.54</f>
        <v>3.3104186979809516</v>
      </c>
      <c r="U130" s="4">
        <f>T130</f>
        <v>3.3104186979809516</v>
      </c>
      <c r="V130" s="1"/>
    </row>
    <row r="131" spans="1:22" ht="12.75">
      <c r="A131">
        <f t="shared" si="31"/>
        <v>12</v>
      </c>
      <c r="B131" s="1">
        <f t="shared" si="32"/>
        <v>58.59119389638504</v>
      </c>
      <c r="C131" s="1">
        <f t="shared" si="33"/>
        <v>25.074827949642057</v>
      </c>
      <c r="D131" s="2">
        <f t="shared" si="34"/>
        <v>13</v>
      </c>
      <c r="E131" s="1">
        <f t="shared" si="35"/>
        <v>59.65512044027047</v>
      </c>
      <c r="F131" s="1">
        <f t="shared" si="36"/>
        <v>21.848465273417666</v>
      </c>
      <c r="G131">
        <f t="shared" si="46"/>
        <v>12</v>
      </c>
      <c r="H131" s="1">
        <f t="shared" si="37"/>
        <v>3.39725710085619</v>
      </c>
      <c r="I131" s="1">
        <f t="shared" si="38"/>
        <v>0.31853144630765684</v>
      </c>
      <c r="J131" s="1">
        <f t="shared" si="39"/>
        <v>0.5319632719427148</v>
      </c>
      <c r="K131" s="1">
        <f t="shared" si="40"/>
        <v>-1.613181338112195</v>
      </c>
      <c r="L131" s="1">
        <f t="shared" si="41"/>
        <v>59.12315716832776</v>
      </c>
      <c r="M131" s="1">
        <f t="shared" si="42"/>
        <v>23.46164661152986</v>
      </c>
      <c r="N131" s="1">
        <v>0.5</v>
      </c>
      <c r="O131" s="4">
        <f t="shared" si="43"/>
        <v>371.4817524341064</v>
      </c>
      <c r="P131" s="1">
        <f t="shared" si="44"/>
        <v>1.698628550428095</v>
      </c>
      <c r="Q131" s="4">
        <f t="shared" si="45"/>
        <v>0.00014843715130341098</v>
      </c>
      <c r="R131" t="s">
        <v>64</v>
      </c>
      <c r="S131" t="s">
        <v>64</v>
      </c>
      <c r="T131" s="1"/>
      <c r="V131" s="1"/>
    </row>
    <row r="132" spans="1:22" ht="12.75">
      <c r="A132">
        <f t="shared" si="31"/>
        <v>13</v>
      </c>
      <c r="B132" s="1">
        <f t="shared" si="32"/>
        <v>59.65512044027047</v>
      </c>
      <c r="C132" s="1">
        <f t="shared" si="33"/>
        <v>21.848465273417666</v>
      </c>
      <c r="E132" s="1"/>
      <c r="F132" s="1"/>
      <c r="H132" s="1"/>
      <c r="S132" s="1"/>
      <c r="T132" s="1"/>
      <c r="V132" s="1"/>
    </row>
    <row r="133" spans="2:22" ht="12.75">
      <c r="B133" s="1"/>
      <c r="C133" s="1"/>
      <c r="E133" s="1"/>
      <c r="F133" s="1"/>
      <c r="H133" s="1"/>
      <c r="S133" s="1"/>
      <c r="T133" s="1"/>
      <c r="V133" s="1"/>
    </row>
    <row r="134" spans="2:22" ht="12.75">
      <c r="B134" s="1"/>
      <c r="C134" s="1"/>
      <c r="E134" s="1"/>
      <c r="F134" s="1"/>
      <c r="H134" s="1"/>
      <c r="S134" s="1"/>
      <c r="T134" s="1"/>
      <c r="V134" s="1"/>
    </row>
    <row r="135" spans="1:22" ht="12.75">
      <c r="A135" t="s">
        <v>64</v>
      </c>
      <c r="B135" s="1" t="s">
        <v>63</v>
      </c>
      <c r="C135" s="1" t="s">
        <v>71</v>
      </c>
      <c r="D135" s="2" t="s">
        <v>67</v>
      </c>
      <c r="E135" s="1" t="s">
        <v>72</v>
      </c>
      <c r="F135" s="1" t="s">
        <v>70</v>
      </c>
      <c r="G135" t="s">
        <v>160</v>
      </c>
      <c r="H135" s="1" t="s">
        <v>161</v>
      </c>
      <c r="I135" s="1" t="s">
        <v>162</v>
      </c>
      <c r="J135" t="s">
        <v>127</v>
      </c>
      <c r="K135"/>
      <c r="L135"/>
      <c r="S135" s="1"/>
      <c r="T135" s="1"/>
      <c r="V135" s="1"/>
    </row>
    <row r="136" spans="1:22" ht="12.75">
      <c r="A136" t="s">
        <v>163</v>
      </c>
      <c r="B136" s="1">
        <f>B93</f>
        <v>43.19564443585437</v>
      </c>
      <c r="C136" s="1">
        <f>C93</f>
        <v>55.11403577585327</v>
      </c>
      <c r="D136" s="3">
        <f>B43</f>
        <v>52.81835732169897</v>
      </c>
      <c r="E136" s="1">
        <f>C136</f>
        <v>55.11403577585327</v>
      </c>
      <c r="F136" s="1">
        <f>B94</f>
        <v>50.12137455690268</v>
      </c>
      <c r="G136" s="1">
        <f>C94</f>
        <v>43.11403577585327</v>
      </c>
      <c r="H136" s="1">
        <f>B39</f>
        <v>66.14297533219177</v>
      </c>
      <c r="I136" s="1">
        <f>G136</f>
        <v>43.11403577585327</v>
      </c>
      <c r="J136">
        <f>(G136-C136)/(F136-B136)</f>
        <v>-1.7326693056563434</v>
      </c>
      <c r="K136"/>
      <c r="L136"/>
      <c r="S136" s="1"/>
      <c r="T136" s="1"/>
      <c r="V136" s="1"/>
    </row>
    <row r="137" spans="1:22" ht="12.75">
      <c r="A137" t="s">
        <v>164</v>
      </c>
      <c r="B137" s="1">
        <f>B95</f>
        <v>54.423749337815686</v>
      </c>
      <c r="C137" s="1">
        <f>C95</f>
        <v>37.52755330209084</v>
      </c>
      <c r="D137" s="3">
        <f>B38</f>
        <v>66.8125</v>
      </c>
      <c r="E137" s="1">
        <f>C137</f>
        <v>37.52755330209084</v>
      </c>
      <c r="F137" s="1">
        <f>B96</f>
        <v>58.18181596262532</v>
      </c>
      <c r="G137" s="1">
        <f>C96</f>
        <v>25.527553302090837</v>
      </c>
      <c r="H137" s="1">
        <f>D137</f>
        <v>66.8125</v>
      </c>
      <c r="I137" s="1">
        <f>G137</f>
        <v>25.527553302090837</v>
      </c>
      <c r="J137">
        <f>(G137-C137)/(F137-B137)</f>
        <v>-3.1931312555183493</v>
      </c>
      <c r="K137"/>
      <c r="L137"/>
      <c r="S137" s="1"/>
      <c r="T137" s="1"/>
      <c r="V137" s="1"/>
    </row>
    <row r="138" spans="2:22" ht="12.75">
      <c r="B138" s="1"/>
      <c r="C138" s="1"/>
      <c r="D138" s="3"/>
      <c r="E138" s="1"/>
      <c r="F138" s="1"/>
      <c r="G138" s="1"/>
      <c r="H138" s="1"/>
      <c r="J138"/>
      <c r="K138"/>
      <c r="L138"/>
      <c r="S138" s="1"/>
      <c r="T138" s="1"/>
      <c r="V138" s="1"/>
    </row>
    <row r="139" spans="1:22" ht="12.75">
      <c r="A139" t="s">
        <v>165</v>
      </c>
      <c r="B139" s="1">
        <v>0.5</v>
      </c>
      <c r="C139" s="1"/>
      <c r="E139" s="1"/>
      <c r="F139" s="1"/>
      <c r="H139" s="1"/>
      <c r="S139" s="1"/>
      <c r="T139" s="1"/>
      <c r="V139" s="1"/>
    </row>
    <row r="140" spans="2:22" ht="12.75">
      <c r="B140" s="1"/>
      <c r="C140" s="1"/>
      <c r="E140" s="1"/>
      <c r="F140" s="1"/>
      <c r="H140" s="1"/>
      <c r="S140" s="1"/>
      <c r="T140" s="1"/>
      <c r="V140" s="1"/>
    </row>
    <row r="141" spans="1:22" ht="12.75">
      <c r="A141" t="s">
        <v>166</v>
      </c>
      <c r="B141" s="1">
        <f>B93</f>
        <v>43.19564443585437</v>
      </c>
      <c r="C141" s="1">
        <f>C93</f>
        <v>55.11403577585327</v>
      </c>
      <c r="E141" s="1"/>
      <c r="F141" s="1"/>
      <c r="H141" s="1"/>
      <c r="S141" s="1"/>
      <c r="T141" s="1"/>
      <c r="V141" s="1"/>
    </row>
    <row r="142" spans="1:22" ht="12.75">
      <c r="A142" t="s">
        <v>167</v>
      </c>
      <c r="B142" s="1">
        <f>B43</f>
        <v>52.81835732169897</v>
      </c>
      <c r="C142" s="1">
        <f>C141</f>
        <v>55.11403577585327</v>
      </c>
      <c r="E142" s="1"/>
      <c r="F142" s="1"/>
      <c r="H142" s="1"/>
      <c r="S142" s="1"/>
      <c r="T142" s="1"/>
      <c r="V142" s="1"/>
    </row>
    <row r="143" spans="1:22" ht="12.75">
      <c r="A143" t="s">
        <v>168</v>
      </c>
      <c r="B143" s="1">
        <f>B94</f>
        <v>50.12137455690268</v>
      </c>
      <c r="C143" s="1">
        <f>C94</f>
        <v>43.11403577585327</v>
      </c>
      <c r="E143" s="8" t="s">
        <v>64</v>
      </c>
      <c r="F143" s="1"/>
      <c r="H143" s="1"/>
      <c r="S143" s="1"/>
      <c r="T143" s="1"/>
      <c r="V143" s="1"/>
    </row>
    <row r="144" spans="1:22" ht="12.75">
      <c r="A144" t="s">
        <v>169</v>
      </c>
      <c r="B144" s="1">
        <f>B39</f>
        <v>66.14297533219177</v>
      </c>
      <c r="C144" s="1">
        <f>C143</f>
        <v>43.11403577585327</v>
      </c>
      <c r="E144" s="1"/>
      <c r="F144" s="1"/>
      <c r="H144" s="1"/>
      <c r="S144" s="1"/>
      <c r="T144" s="1"/>
      <c r="V144" s="1"/>
    </row>
    <row r="145" spans="1:22" ht="12.75">
      <c r="A145" t="s">
        <v>170</v>
      </c>
      <c r="B145" s="1">
        <f>((B142-B141)+(B144-B143))/2</f>
        <v>12.822156830566843</v>
      </c>
      <c r="C145" s="1"/>
      <c r="E145" s="1"/>
      <c r="F145" s="1"/>
      <c r="H145" s="1"/>
      <c r="S145" s="1"/>
      <c r="T145" s="1"/>
      <c r="V145" s="1"/>
    </row>
    <row r="146" spans="1:22" ht="64.5" customHeight="1">
      <c r="A146" t="s">
        <v>171</v>
      </c>
      <c r="B146" s="4">
        <f>0.0004</f>
        <v>0.0004</v>
      </c>
      <c r="C146" s="1" t="s">
        <v>111</v>
      </c>
      <c r="D146" s="2" t="s">
        <v>172</v>
      </c>
      <c r="E146" s="1"/>
      <c r="F146" s="1"/>
      <c r="H146" s="1"/>
      <c r="S146" s="1"/>
      <c r="T146" s="1"/>
      <c r="V146" s="1"/>
    </row>
    <row r="147" spans="2:22" ht="12.75">
      <c r="B147" s="1"/>
      <c r="C147" s="1"/>
      <c r="E147" s="1"/>
      <c r="F147" s="1"/>
      <c r="H147" s="1"/>
      <c r="S147" s="1"/>
      <c r="T147" s="1"/>
      <c r="V147" s="1"/>
    </row>
    <row r="148" spans="1:22" ht="12.75">
      <c r="A148" t="s">
        <v>173</v>
      </c>
      <c r="B148" s="1">
        <f>B95</f>
        <v>54.423749337815686</v>
      </c>
      <c r="C148" s="1">
        <f>C95</f>
        <v>37.52755330209084</v>
      </c>
      <c r="E148" s="1"/>
      <c r="F148" s="1"/>
      <c r="H148" s="1"/>
      <c r="S148" s="1"/>
      <c r="T148" s="1"/>
      <c r="V148" s="1"/>
    </row>
    <row r="149" spans="1:22" ht="12.75">
      <c r="A149" t="s">
        <v>174</v>
      </c>
      <c r="B149" s="1">
        <f>B38</f>
        <v>66.8125</v>
      </c>
      <c r="C149" s="1">
        <f>C148</f>
        <v>37.52755330209084</v>
      </c>
      <c r="E149" s="1"/>
      <c r="F149" s="1"/>
      <c r="H149" s="1"/>
      <c r="S149" s="1"/>
      <c r="T149" s="1"/>
      <c r="V149" s="1"/>
    </row>
    <row r="150" spans="1:22" ht="12.75">
      <c r="A150" t="s">
        <v>175</v>
      </c>
      <c r="B150" s="1">
        <f>B96</f>
        <v>58.18181596262532</v>
      </c>
      <c r="C150" s="1">
        <f>C96</f>
        <v>25.527553302090837</v>
      </c>
      <c r="E150" s="1"/>
      <c r="F150" s="1"/>
      <c r="H150" s="1"/>
      <c r="S150" s="1"/>
      <c r="T150" s="1"/>
      <c r="V150" s="1"/>
    </row>
    <row r="151" spans="1:22" ht="12.75">
      <c r="A151" t="s">
        <v>176</v>
      </c>
      <c r="B151" s="1">
        <f>B149</f>
        <v>66.8125</v>
      </c>
      <c r="C151" s="1">
        <f>C150</f>
        <v>25.527553302090837</v>
      </c>
      <c r="E151" s="1"/>
      <c r="F151" s="1"/>
      <c r="H151" s="1"/>
      <c r="S151" s="1"/>
      <c r="T151" s="1"/>
      <c r="V151" s="1"/>
    </row>
    <row r="152" spans="1:22" ht="12.75">
      <c r="A152" t="s">
        <v>177</v>
      </c>
      <c r="B152" s="1">
        <f>((B149-B148)+(B151-B150))/2</f>
        <v>10.509717349779496</v>
      </c>
      <c r="C152" s="1"/>
      <c r="E152" s="1"/>
      <c r="F152" s="1"/>
      <c r="H152" s="1"/>
      <c r="S152" s="1"/>
      <c r="T152" s="1"/>
      <c r="V152" s="1"/>
    </row>
    <row r="153" spans="1:22" ht="78" customHeight="1">
      <c r="A153" t="s">
        <v>178</v>
      </c>
      <c r="B153" s="4">
        <f>0.0003</f>
        <v>0.0003</v>
      </c>
      <c r="C153" s="1" t="s">
        <v>111</v>
      </c>
      <c r="D153" s="2" t="s">
        <v>179</v>
      </c>
      <c r="E153" s="1"/>
      <c r="F153" s="1"/>
      <c r="H153" s="1"/>
      <c r="S153" s="1"/>
      <c r="T153" s="1"/>
      <c r="V153" s="1"/>
    </row>
    <row r="154" spans="2:22" ht="12.75">
      <c r="B154" s="1"/>
      <c r="C154" s="1"/>
      <c r="E154" s="1"/>
      <c r="F154" s="1"/>
      <c r="H154" s="1"/>
      <c r="S154" s="1"/>
      <c r="T154" s="1"/>
      <c r="V154" s="1"/>
    </row>
    <row r="155" spans="1:4" ht="12.75">
      <c r="A155" t="s">
        <v>180</v>
      </c>
      <c r="B155" s="1">
        <f>3/8</f>
        <v>0.375</v>
      </c>
      <c r="C155" s="4" t="s">
        <v>136</v>
      </c>
      <c r="D155" s="2" t="s">
        <v>181</v>
      </c>
    </row>
    <row r="156" spans="1:4" ht="12.75">
      <c r="A156" t="s">
        <v>182</v>
      </c>
      <c r="B156" s="1">
        <f>8</f>
        <v>8</v>
      </c>
      <c r="C156" s="4" t="s">
        <v>136</v>
      </c>
      <c r="D156" s="2" t="s">
        <v>181</v>
      </c>
    </row>
    <row r="157" spans="1:4" ht="12.75">
      <c r="A157" t="s">
        <v>183</v>
      </c>
      <c r="B157" s="1">
        <f>bh</f>
        <v>12</v>
      </c>
      <c r="C157" s="4" t="s">
        <v>136</v>
      </c>
      <c r="D157" s="2" t="s">
        <v>181</v>
      </c>
    </row>
    <row r="158" spans="1:4" ht="12.75">
      <c r="A158" t="s">
        <v>184</v>
      </c>
      <c r="B158" s="1">
        <v>2</v>
      </c>
      <c r="C158" s="4" t="s">
        <v>136</v>
      </c>
      <c r="D158" s="2" t="s">
        <v>181</v>
      </c>
    </row>
    <row r="159" spans="1:4" ht="12.75">
      <c r="A159" t="s">
        <v>185</v>
      </c>
      <c r="B159" s="4">
        <f>rescopper*(2*B156+B158)/(B155*B157)*100/2.54</f>
        <v>2.71496062992126E-06</v>
      </c>
      <c r="C159" s="4" t="s">
        <v>111</v>
      </c>
      <c r="D159" s="2" t="s">
        <v>181</v>
      </c>
    </row>
    <row r="160" spans="2:4" ht="12.75">
      <c r="B160" s="4"/>
      <c r="C160" s="4"/>
      <c r="D160" s="2" t="s">
        <v>181</v>
      </c>
    </row>
    <row r="161" spans="1:4" ht="12.75">
      <c r="A161" t="s">
        <v>186</v>
      </c>
      <c r="B161" s="1">
        <v>2.5</v>
      </c>
      <c r="C161" s="4" t="s">
        <v>136</v>
      </c>
      <c r="D161" s="2" t="s">
        <v>181</v>
      </c>
    </row>
    <row r="162" spans="1:4" ht="12.75">
      <c r="A162" t="s">
        <v>187</v>
      </c>
      <c r="B162" s="1">
        <f>B161*B157</f>
        <v>30</v>
      </c>
      <c r="C162" s="4" t="s">
        <v>188</v>
      </c>
      <c r="D162" s="2" t="s">
        <v>181</v>
      </c>
    </row>
    <row r="163" spans="1:4" ht="12.75">
      <c r="A163" t="s">
        <v>189</v>
      </c>
      <c r="B163" s="4">
        <v>8E-06</v>
      </c>
      <c r="C163" s="4" t="s">
        <v>190</v>
      </c>
      <c r="D163" s="2" t="s">
        <v>181</v>
      </c>
    </row>
    <row r="164" spans="1:4" ht="12.75">
      <c r="A164" t="s">
        <v>191</v>
      </c>
      <c r="B164" s="4">
        <f>2*B163/B162</f>
        <v>5.333333333333333E-07</v>
      </c>
      <c r="C164" s="4" t="s">
        <v>111</v>
      </c>
      <c r="D164" s="2" t="s">
        <v>181</v>
      </c>
    </row>
    <row r="165" spans="2:3" ht="12.75">
      <c r="B165" s="4"/>
      <c r="C165" s="4"/>
    </row>
    <row r="166" spans="2:3" ht="12.75">
      <c r="B166" s="4" t="s">
        <v>192</v>
      </c>
      <c r="C166" s="4" t="s">
        <v>193</v>
      </c>
    </row>
    <row r="167" spans="1:3" ht="12.75">
      <c r="A167" t="s">
        <v>84</v>
      </c>
      <c r="B167" s="7">
        <v>12</v>
      </c>
      <c r="C167" s="4"/>
    </row>
    <row r="168" spans="1:3" ht="12.75">
      <c r="A168" t="s">
        <v>194</v>
      </c>
      <c r="B168" s="4">
        <f>B167*B146</f>
        <v>0.0048000000000000004</v>
      </c>
      <c r="C168" s="4">
        <f>2*B168</f>
        <v>0.009600000000000001</v>
      </c>
    </row>
    <row r="169" spans="1:3" ht="12.75">
      <c r="A169" t="s">
        <v>195</v>
      </c>
      <c r="B169" s="4">
        <f>B167*B153</f>
        <v>0.0036</v>
      </c>
      <c r="C169" s="4">
        <f>2*B169</f>
        <v>0.0072</v>
      </c>
    </row>
    <row r="170" spans="1:3" ht="12.75">
      <c r="A170" t="s">
        <v>196</v>
      </c>
      <c r="B170" s="4"/>
      <c r="C170" s="4">
        <f>C168*nfs</f>
        <v>0.057600000000000005</v>
      </c>
    </row>
    <row r="171" spans="1:3" ht="12.75">
      <c r="A171" t="s">
        <v>197</v>
      </c>
      <c r="B171" s="4"/>
      <c r="C171" s="4">
        <f>C169*nfp</f>
        <v>0.0432</v>
      </c>
    </row>
    <row r="172" spans="2:3" ht="12.75">
      <c r="B172" s="4"/>
      <c r="C172" s="4"/>
    </row>
    <row r="173" spans="1:3" ht="12.75">
      <c r="A173" t="s">
        <v>198</v>
      </c>
      <c r="B173" s="4"/>
      <c r="C173" s="4"/>
    </row>
    <row r="174" spans="2:3" ht="12.75">
      <c r="B174" s="4"/>
      <c r="C174" s="4"/>
    </row>
    <row r="175" spans="1:17" ht="25.5" customHeight="1">
      <c r="A175" s="2" t="s">
        <v>85</v>
      </c>
      <c r="B175" s="2" t="s">
        <v>86</v>
      </c>
      <c r="C175" s="2" t="s">
        <v>87</v>
      </c>
      <c r="D175" s="2" t="s">
        <v>85</v>
      </c>
      <c r="E175" s="2" t="s">
        <v>86</v>
      </c>
      <c r="F175" s="2" t="s">
        <v>87</v>
      </c>
      <c r="G175" s="2" t="s">
        <v>85</v>
      </c>
      <c r="H175" s="2" t="s">
        <v>89</v>
      </c>
      <c r="I175" s="3" t="s">
        <v>90</v>
      </c>
      <c r="J175" s="3" t="s">
        <v>91</v>
      </c>
      <c r="K175" s="3" t="s">
        <v>92</v>
      </c>
      <c r="L175" s="3" t="s">
        <v>93</v>
      </c>
      <c r="M175" s="3" t="s">
        <v>94</v>
      </c>
      <c r="N175" s="3" t="s">
        <v>95</v>
      </c>
      <c r="O175" s="5" t="s">
        <v>96</v>
      </c>
      <c r="P175" s="3" t="s">
        <v>97</v>
      </c>
      <c r="Q175" s="5" t="s">
        <v>98</v>
      </c>
    </row>
    <row r="176" spans="1:17" ht="12.75">
      <c r="A176" s="2"/>
      <c r="B176" s="2" t="s">
        <v>107</v>
      </c>
      <c r="C176" s="2" t="s">
        <v>107</v>
      </c>
      <c r="D176" s="2" t="s">
        <v>64</v>
      </c>
      <c r="E176" s="2" t="s">
        <v>107</v>
      </c>
      <c r="F176" s="2" t="s">
        <v>107</v>
      </c>
      <c r="G176" s="2" t="s">
        <v>64</v>
      </c>
      <c r="H176" s="2" t="s">
        <v>107</v>
      </c>
      <c r="I176" s="2" t="s">
        <v>109</v>
      </c>
      <c r="J176" s="2" t="s">
        <v>107</v>
      </c>
      <c r="K176" s="2" t="s">
        <v>107</v>
      </c>
      <c r="L176" s="2" t="s">
        <v>107</v>
      </c>
      <c r="M176" s="2" t="s">
        <v>107</v>
      </c>
      <c r="N176" s="2" t="s">
        <v>107</v>
      </c>
      <c r="O176" s="5" t="s">
        <v>107</v>
      </c>
      <c r="P176" s="3" t="s">
        <v>110</v>
      </c>
      <c r="Q176" s="5" t="s">
        <v>111</v>
      </c>
    </row>
    <row r="177" spans="1:17" ht="12.75">
      <c r="A177">
        <v>1</v>
      </c>
      <c r="B177" s="11">
        <f>45/2</f>
        <v>22.5</v>
      </c>
      <c r="C177" s="11">
        <f>65.125+1/2</f>
        <v>65.625</v>
      </c>
      <c r="D177" s="2">
        <f aca="true" t="shared" si="48" ref="D177:D200">A178</f>
        <v>2</v>
      </c>
      <c r="E177" s="1">
        <f aca="true" t="shared" si="49" ref="E177:E200">B178</f>
        <v>19.34375</v>
      </c>
      <c r="F177" s="1">
        <f aca="true" t="shared" si="50" ref="F177:F200">C178</f>
        <v>65.625</v>
      </c>
      <c r="G177">
        <v>1</v>
      </c>
      <c r="H177" s="1">
        <f aca="true" t="shared" si="51" ref="H177:H200">SQRT((B177-E177)^2+(C177-F177)^2)</f>
        <v>3.15625</v>
      </c>
      <c r="I177" s="1">
        <f aca="true" t="shared" si="52" ref="I177:I200">ASIN(ABS(B177-E177)/H177)</f>
        <v>1.5707963267948966</v>
      </c>
      <c r="J177" s="1">
        <f aca="true" t="shared" si="53" ref="J177:J200">H177/2*SIN(I177)</f>
        <v>1.578125</v>
      </c>
      <c r="K177" s="1">
        <f aca="true" t="shared" si="54" ref="K177:K200">-H177/2*COS(I177)</f>
        <v>-9.663228649522084E-17</v>
      </c>
      <c r="L177" s="1">
        <f aca="true" t="shared" si="55" ref="L177:L200">MIN(B177,E177)+J177</f>
        <v>20.921875</v>
      </c>
      <c r="M177" s="1">
        <f aca="true" t="shared" si="56" ref="M177:M200">MAX(C177,F177)+K177</f>
        <v>65.625</v>
      </c>
      <c r="N177" s="11">
        <v>1</v>
      </c>
      <c r="O177" s="4">
        <f aca="true" t="shared" si="57" ref="O177:O200">2*PI()*L177</f>
        <v>131.45601759864792</v>
      </c>
      <c r="P177" s="1">
        <f aca="true" t="shared" si="58" ref="P177:P200">H177*N177</f>
        <v>3.15625</v>
      </c>
      <c r="Q177" s="4">
        <f aca="true" t="shared" si="59" ref="Q177:Q200">resinconel*100/2.54*O177/P177</f>
        <v>0.002131663807633801</v>
      </c>
    </row>
    <row r="178" spans="1:17" ht="12.75">
      <c r="A178">
        <v>2</v>
      </c>
      <c r="B178" s="1">
        <f>B177-(router-rinner)/4</f>
        <v>19.34375</v>
      </c>
      <c r="C178" s="1">
        <f>C177</f>
        <v>65.625</v>
      </c>
      <c r="D178" s="2">
        <f t="shared" si="48"/>
        <v>3</v>
      </c>
      <c r="E178" s="1">
        <f t="shared" si="49"/>
        <v>16.1875</v>
      </c>
      <c r="F178" s="1">
        <f t="shared" si="50"/>
        <v>65.625</v>
      </c>
      <c r="G178">
        <v>2</v>
      </c>
      <c r="H178" s="1">
        <f t="shared" si="51"/>
        <v>3.15625</v>
      </c>
      <c r="I178" s="1">
        <f t="shared" si="52"/>
        <v>1.5707963267948966</v>
      </c>
      <c r="J178" s="1">
        <f t="shared" si="53"/>
        <v>1.578125</v>
      </c>
      <c r="K178" s="1">
        <f t="shared" si="54"/>
        <v>-9.663228649522084E-17</v>
      </c>
      <c r="L178" s="1">
        <f t="shared" si="55"/>
        <v>17.765625</v>
      </c>
      <c r="M178" s="1">
        <f t="shared" si="56"/>
        <v>65.625</v>
      </c>
      <c r="N178" s="1">
        <f>N177</f>
        <v>1</v>
      </c>
      <c r="O178" s="4">
        <f t="shared" si="57"/>
        <v>111.62471397286234</v>
      </c>
      <c r="P178" s="1">
        <f t="shared" si="58"/>
        <v>3.15625</v>
      </c>
      <c r="Q178" s="4">
        <f t="shared" si="59"/>
        <v>0.001810083457266342</v>
      </c>
    </row>
    <row r="179" spans="1:17" ht="12.75">
      <c r="A179">
        <v>3</v>
      </c>
      <c r="B179" s="1">
        <f>B178-(router-rinner)/4</f>
        <v>16.1875</v>
      </c>
      <c r="C179" s="1">
        <f>C178</f>
        <v>65.625</v>
      </c>
      <c r="D179" s="2">
        <f t="shared" si="48"/>
        <v>4</v>
      </c>
      <c r="E179" s="1">
        <f t="shared" si="49"/>
        <v>13.03125</v>
      </c>
      <c r="F179" s="1">
        <f t="shared" si="50"/>
        <v>65.625</v>
      </c>
      <c r="G179">
        <v>3</v>
      </c>
      <c r="H179" s="1">
        <f t="shared" si="51"/>
        <v>3.15625</v>
      </c>
      <c r="I179" s="1">
        <f t="shared" si="52"/>
        <v>1.5707963267948966</v>
      </c>
      <c r="J179" s="1">
        <f t="shared" si="53"/>
        <v>1.578125</v>
      </c>
      <c r="K179" s="1">
        <f t="shared" si="54"/>
        <v>-9.663228649522084E-17</v>
      </c>
      <c r="L179" s="1">
        <f t="shared" si="55"/>
        <v>14.609375</v>
      </c>
      <c r="M179" s="1">
        <f t="shared" si="56"/>
        <v>65.625</v>
      </c>
      <c r="N179" s="1">
        <f>N178</f>
        <v>1</v>
      </c>
      <c r="O179" s="4">
        <f t="shared" si="57"/>
        <v>91.79341034707677</v>
      </c>
      <c r="P179" s="1">
        <f t="shared" si="58"/>
        <v>3.15625</v>
      </c>
      <c r="Q179" s="4">
        <f t="shared" si="59"/>
        <v>0.0014885031068988827</v>
      </c>
    </row>
    <row r="180" spans="1:17" ht="12.75">
      <c r="A180">
        <v>4</v>
      </c>
      <c r="B180" s="1">
        <f>B179-(router-rinner)/4</f>
        <v>13.03125</v>
      </c>
      <c r="C180" s="1">
        <f>C178</f>
        <v>65.625</v>
      </c>
      <c r="D180" s="2">
        <f t="shared" si="48"/>
        <v>5</v>
      </c>
      <c r="E180" s="1">
        <f t="shared" si="49"/>
        <v>9.875</v>
      </c>
      <c r="F180" s="1">
        <f t="shared" si="50"/>
        <v>65.625</v>
      </c>
      <c r="G180">
        <v>4</v>
      </c>
      <c r="H180" s="1">
        <f t="shared" si="51"/>
        <v>3.15625</v>
      </c>
      <c r="I180" s="1">
        <f t="shared" si="52"/>
        <v>1.5707963267948966</v>
      </c>
      <c r="J180" s="1">
        <f t="shared" si="53"/>
        <v>1.578125</v>
      </c>
      <c r="K180" s="1">
        <f t="shared" si="54"/>
        <v>-9.663228649522084E-17</v>
      </c>
      <c r="L180" s="1">
        <f t="shared" si="55"/>
        <v>11.453125</v>
      </c>
      <c r="M180" s="1">
        <f t="shared" si="56"/>
        <v>65.625</v>
      </c>
      <c r="N180" s="1">
        <f>N179</f>
        <v>1</v>
      </c>
      <c r="O180" s="4">
        <f t="shared" si="57"/>
        <v>71.96210672129119</v>
      </c>
      <c r="P180" s="1">
        <f t="shared" si="58"/>
        <v>3.15625</v>
      </c>
      <c r="Q180" s="4">
        <f t="shared" si="59"/>
        <v>0.0011669227565314234</v>
      </c>
    </row>
    <row r="181" spans="1:17" ht="12.75">
      <c r="A181" s="7">
        <v>5</v>
      </c>
      <c r="B181" s="11">
        <f>10-0.25/2</f>
        <v>9.875</v>
      </c>
      <c r="C181" s="1">
        <f>C180</f>
        <v>65.625</v>
      </c>
      <c r="D181" s="2">
        <f t="shared" si="48"/>
        <v>6</v>
      </c>
      <c r="E181" s="1">
        <f t="shared" si="49"/>
        <v>9.875</v>
      </c>
      <c r="F181" s="1">
        <f t="shared" si="50"/>
        <v>62.589285714285715</v>
      </c>
      <c r="G181">
        <v>5</v>
      </c>
      <c r="H181" s="1">
        <f t="shared" si="51"/>
        <v>3.0357142857142847</v>
      </c>
      <c r="I181" s="1">
        <f t="shared" si="52"/>
        <v>0</v>
      </c>
      <c r="J181" s="1">
        <f t="shared" si="53"/>
        <v>0</v>
      </c>
      <c r="K181" s="1">
        <f t="shared" si="54"/>
        <v>-1.5178571428571423</v>
      </c>
      <c r="L181" s="1">
        <f t="shared" si="55"/>
        <v>9.875</v>
      </c>
      <c r="M181" s="1">
        <f t="shared" si="56"/>
        <v>64.10714285714286</v>
      </c>
      <c r="N181" s="11">
        <v>0.25</v>
      </c>
      <c r="O181" s="4">
        <f t="shared" si="57"/>
        <v>62.04645490839842</v>
      </c>
      <c r="P181" s="1">
        <f t="shared" si="58"/>
        <v>0.7589285714285712</v>
      </c>
      <c r="Q181" s="4">
        <f t="shared" si="59"/>
        <v>0.004184327853016588</v>
      </c>
    </row>
    <row r="182" spans="1:17" ht="12.75">
      <c r="A182">
        <v>6</v>
      </c>
      <c r="B182" s="1">
        <f>B181</f>
        <v>9.875</v>
      </c>
      <c r="C182" s="1">
        <f aca="true" t="shared" si="60" ref="C182:C187">C181-(ztop-zflange)/7</f>
        <v>62.589285714285715</v>
      </c>
      <c r="D182" s="2">
        <f t="shared" si="48"/>
        <v>7</v>
      </c>
      <c r="E182" s="1">
        <f t="shared" si="49"/>
        <v>9.875</v>
      </c>
      <c r="F182" s="1">
        <f t="shared" si="50"/>
        <v>59.55357142857143</v>
      </c>
      <c r="G182">
        <v>6</v>
      </c>
      <c r="H182" s="1">
        <f t="shared" si="51"/>
        <v>3.0357142857142847</v>
      </c>
      <c r="I182" s="1">
        <f t="shared" si="52"/>
        <v>0</v>
      </c>
      <c r="J182" s="1">
        <f t="shared" si="53"/>
        <v>0</v>
      </c>
      <c r="K182" s="1">
        <f t="shared" si="54"/>
        <v>-1.5178571428571423</v>
      </c>
      <c r="L182" s="1">
        <f t="shared" si="55"/>
        <v>9.875</v>
      </c>
      <c r="M182" s="1">
        <f t="shared" si="56"/>
        <v>61.07142857142857</v>
      </c>
      <c r="N182" s="1">
        <f aca="true" t="shared" si="61" ref="N182:N187">N181</f>
        <v>0.25</v>
      </c>
      <c r="O182" s="4">
        <f t="shared" si="57"/>
        <v>62.04645490839842</v>
      </c>
      <c r="P182" s="1">
        <f t="shared" si="58"/>
        <v>0.7589285714285712</v>
      </c>
      <c r="Q182" s="4">
        <f t="shared" si="59"/>
        <v>0.004184327853016588</v>
      </c>
    </row>
    <row r="183" spans="1:17" ht="12.75">
      <c r="A183">
        <v>7</v>
      </c>
      <c r="B183" s="1">
        <f>B182</f>
        <v>9.875</v>
      </c>
      <c r="C183" s="1">
        <f t="shared" si="60"/>
        <v>59.55357142857143</v>
      </c>
      <c r="D183" s="2">
        <f t="shared" si="48"/>
        <v>8</v>
      </c>
      <c r="E183" s="1">
        <f t="shared" si="49"/>
        <v>9.875</v>
      </c>
      <c r="F183" s="1">
        <f t="shared" si="50"/>
        <v>56.517857142857146</v>
      </c>
      <c r="G183">
        <v>7</v>
      </c>
      <c r="H183" s="1">
        <f t="shared" si="51"/>
        <v>3.0357142857142847</v>
      </c>
      <c r="I183" s="1">
        <f t="shared" si="52"/>
        <v>0</v>
      </c>
      <c r="J183" s="1">
        <f t="shared" si="53"/>
        <v>0</v>
      </c>
      <c r="K183" s="1">
        <f t="shared" si="54"/>
        <v>-1.5178571428571423</v>
      </c>
      <c r="L183" s="1">
        <f t="shared" si="55"/>
        <v>9.875</v>
      </c>
      <c r="M183" s="1">
        <f t="shared" si="56"/>
        <v>58.03571428571429</v>
      </c>
      <c r="N183" s="1">
        <f t="shared" si="61"/>
        <v>0.25</v>
      </c>
      <c r="O183" s="4">
        <f t="shared" si="57"/>
        <v>62.04645490839842</v>
      </c>
      <c r="P183" s="1">
        <f t="shared" si="58"/>
        <v>0.7589285714285712</v>
      </c>
      <c r="Q183" s="4">
        <f t="shared" si="59"/>
        <v>0.004184327853016588</v>
      </c>
    </row>
    <row r="184" spans="1:17" ht="12.75">
      <c r="A184">
        <v>8</v>
      </c>
      <c r="B184" s="1">
        <f>B182</f>
        <v>9.875</v>
      </c>
      <c r="C184" s="1">
        <f t="shared" si="60"/>
        <v>56.517857142857146</v>
      </c>
      <c r="D184" s="2">
        <f t="shared" si="48"/>
        <v>9</v>
      </c>
      <c r="E184" s="1">
        <f t="shared" si="49"/>
        <v>9.875</v>
      </c>
      <c r="F184" s="1">
        <f t="shared" si="50"/>
        <v>53.48214285714286</v>
      </c>
      <c r="G184">
        <v>8</v>
      </c>
      <c r="H184" s="1">
        <f t="shared" si="51"/>
        <v>3.0357142857142847</v>
      </c>
      <c r="I184" s="1">
        <f t="shared" si="52"/>
        <v>0</v>
      </c>
      <c r="J184" s="1">
        <f t="shared" si="53"/>
        <v>0</v>
      </c>
      <c r="K184" s="1">
        <f t="shared" si="54"/>
        <v>-1.5178571428571423</v>
      </c>
      <c r="L184" s="1">
        <f t="shared" si="55"/>
        <v>9.875</v>
      </c>
      <c r="M184" s="1">
        <f t="shared" si="56"/>
        <v>55</v>
      </c>
      <c r="N184" s="1">
        <f t="shared" si="61"/>
        <v>0.25</v>
      </c>
      <c r="O184" s="4">
        <f t="shared" si="57"/>
        <v>62.04645490839842</v>
      </c>
      <c r="P184" s="1">
        <f t="shared" si="58"/>
        <v>0.7589285714285712</v>
      </c>
      <c r="Q184" s="4">
        <f t="shared" si="59"/>
        <v>0.004184327853016588</v>
      </c>
    </row>
    <row r="185" spans="1:17" ht="12.75">
      <c r="A185">
        <v>9</v>
      </c>
      <c r="B185" s="1">
        <f>B184</f>
        <v>9.875</v>
      </c>
      <c r="C185" s="1">
        <f t="shared" si="60"/>
        <v>53.48214285714286</v>
      </c>
      <c r="D185" s="2">
        <f t="shared" si="48"/>
        <v>10</v>
      </c>
      <c r="E185" s="1">
        <f t="shared" si="49"/>
        <v>9.875</v>
      </c>
      <c r="F185" s="1">
        <f t="shared" si="50"/>
        <v>50.44642857142858</v>
      </c>
      <c r="G185">
        <v>9</v>
      </c>
      <c r="H185" s="1">
        <f t="shared" si="51"/>
        <v>3.0357142857142847</v>
      </c>
      <c r="I185" s="1">
        <f t="shared" si="52"/>
        <v>0</v>
      </c>
      <c r="J185" s="1">
        <f t="shared" si="53"/>
        <v>0</v>
      </c>
      <c r="K185" s="1">
        <f t="shared" si="54"/>
        <v>-1.5178571428571423</v>
      </c>
      <c r="L185" s="1">
        <f t="shared" si="55"/>
        <v>9.875</v>
      </c>
      <c r="M185" s="1">
        <f t="shared" si="56"/>
        <v>51.96428571428572</v>
      </c>
      <c r="N185" s="1">
        <f t="shared" si="61"/>
        <v>0.25</v>
      </c>
      <c r="O185" s="4">
        <f t="shared" si="57"/>
        <v>62.04645490839842</v>
      </c>
      <c r="P185" s="1">
        <f t="shared" si="58"/>
        <v>0.7589285714285712</v>
      </c>
      <c r="Q185" s="4">
        <f t="shared" si="59"/>
        <v>0.004184327853016588</v>
      </c>
    </row>
    <row r="186" spans="1:17" ht="12.75">
      <c r="A186">
        <v>10</v>
      </c>
      <c r="B186" s="1">
        <f>B185</f>
        <v>9.875</v>
      </c>
      <c r="C186" s="1">
        <f t="shared" si="60"/>
        <v>50.44642857142858</v>
      </c>
      <c r="D186" s="2">
        <f t="shared" si="48"/>
        <v>11</v>
      </c>
      <c r="E186" s="1">
        <f t="shared" si="49"/>
        <v>9.875</v>
      </c>
      <c r="F186" s="1">
        <f t="shared" si="50"/>
        <v>47.41071428571429</v>
      </c>
      <c r="G186">
        <v>10</v>
      </c>
      <c r="H186" s="1">
        <f t="shared" si="51"/>
        <v>3.0357142857142847</v>
      </c>
      <c r="I186" s="1">
        <f t="shared" si="52"/>
        <v>0</v>
      </c>
      <c r="J186" s="1">
        <f t="shared" si="53"/>
        <v>0</v>
      </c>
      <c r="K186" s="1">
        <f t="shared" si="54"/>
        <v>-1.5178571428571423</v>
      </c>
      <c r="L186" s="1">
        <f t="shared" si="55"/>
        <v>9.875</v>
      </c>
      <c r="M186" s="1">
        <f t="shared" si="56"/>
        <v>48.92857142857143</v>
      </c>
      <c r="N186" s="1">
        <f t="shared" si="61"/>
        <v>0.25</v>
      </c>
      <c r="O186" s="4">
        <f t="shared" si="57"/>
        <v>62.04645490839842</v>
      </c>
      <c r="P186" s="1">
        <f t="shared" si="58"/>
        <v>0.7589285714285712</v>
      </c>
      <c r="Q186" s="4">
        <f t="shared" si="59"/>
        <v>0.004184327853016588</v>
      </c>
    </row>
    <row r="187" spans="1:17" ht="12.75">
      <c r="A187">
        <v>11</v>
      </c>
      <c r="B187" s="1">
        <f>B186</f>
        <v>9.875</v>
      </c>
      <c r="C187" s="1">
        <f t="shared" si="60"/>
        <v>47.41071428571429</v>
      </c>
      <c r="D187" s="2">
        <f t="shared" si="48"/>
        <v>12</v>
      </c>
      <c r="E187" s="1">
        <f t="shared" si="49"/>
        <v>9.875</v>
      </c>
      <c r="F187" s="1">
        <f t="shared" si="50"/>
        <v>44.375</v>
      </c>
      <c r="G187">
        <v>11</v>
      </c>
      <c r="H187" s="1">
        <f t="shared" si="51"/>
        <v>3.035714285714292</v>
      </c>
      <c r="I187" s="1">
        <f t="shared" si="52"/>
        <v>0</v>
      </c>
      <c r="J187" s="1">
        <f t="shared" si="53"/>
        <v>0</v>
      </c>
      <c r="K187" s="1">
        <f t="shared" si="54"/>
        <v>-1.517857142857146</v>
      </c>
      <c r="L187" s="1">
        <f t="shared" si="55"/>
        <v>9.875</v>
      </c>
      <c r="M187" s="1">
        <f t="shared" si="56"/>
        <v>45.892857142857146</v>
      </c>
      <c r="N187" s="1">
        <f t="shared" si="61"/>
        <v>0.25</v>
      </c>
      <c r="O187" s="4">
        <f t="shared" si="57"/>
        <v>62.04645490839842</v>
      </c>
      <c r="P187" s="1">
        <f t="shared" si="58"/>
        <v>0.758928571428573</v>
      </c>
      <c r="Q187" s="4">
        <f t="shared" si="59"/>
        <v>0.004184327853016578</v>
      </c>
    </row>
    <row r="188" spans="1:17" ht="12.75">
      <c r="A188">
        <v>12</v>
      </c>
      <c r="B188" s="1">
        <f>B187</f>
        <v>9.875</v>
      </c>
      <c r="C188" s="1">
        <f>zflange</f>
        <v>44.375</v>
      </c>
      <c r="D188" s="2">
        <f t="shared" si="48"/>
        <v>13</v>
      </c>
      <c r="E188" s="1">
        <f t="shared" si="49"/>
        <v>6.6595</v>
      </c>
      <c r="F188" s="1">
        <f t="shared" si="50"/>
        <v>44.375</v>
      </c>
      <c r="G188">
        <v>12</v>
      </c>
      <c r="H188" s="1">
        <f t="shared" si="51"/>
        <v>3.2154999999999996</v>
      </c>
      <c r="I188" s="1">
        <f t="shared" si="52"/>
        <v>1.5707963267948966</v>
      </c>
      <c r="J188" s="1">
        <f t="shared" si="53"/>
        <v>1.6077499999999998</v>
      </c>
      <c r="K188" s="1">
        <f t="shared" si="54"/>
        <v>-9.844629456645784E-17</v>
      </c>
      <c r="L188" s="1">
        <f t="shared" si="55"/>
        <v>8.26725</v>
      </c>
      <c r="M188" s="1">
        <f t="shared" si="56"/>
        <v>44.375</v>
      </c>
      <c r="N188" s="11">
        <v>1</v>
      </c>
      <c r="O188" s="4">
        <f t="shared" si="57"/>
        <v>51.94466373078044</v>
      </c>
      <c r="P188" s="1">
        <f t="shared" si="58"/>
        <v>3.2154999999999996</v>
      </c>
      <c r="Q188" s="4">
        <f t="shared" si="59"/>
        <v>0.0008268030326777725</v>
      </c>
    </row>
    <row r="189" spans="1:17" ht="12.75">
      <c r="A189">
        <v>13</v>
      </c>
      <c r="B189" s="11">
        <f>13.476/2-0.157/2</f>
        <v>6.6595</v>
      </c>
      <c r="C189" s="11">
        <f>(41.55+47.2)/2</f>
        <v>44.375</v>
      </c>
      <c r="D189" s="2">
        <f t="shared" si="48"/>
        <v>14</v>
      </c>
      <c r="E189" s="1">
        <f t="shared" si="49"/>
        <v>6.6595</v>
      </c>
      <c r="F189" s="1">
        <f t="shared" si="50"/>
        <v>40.677083333333336</v>
      </c>
      <c r="G189">
        <v>13</v>
      </c>
      <c r="H189" s="1">
        <f t="shared" si="51"/>
        <v>3.6979166666666643</v>
      </c>
      <c r="I189" s="1">
        <f t="shared" si="52"/>
        <v>0</v>
      </c>
      <c r="J189" s="1">
        <f t="shared" si="53"/>
        <v>0</v>
      </c>
      <c r="K189" s="1">
        <f t="shared" si="54"/>
        <v>-1.8489583333333321</v>
      </c>
      <c r="L189" s="1">
        <f t="shared" si="55"/>
        <v>6.6595</v>
      </c>
      <c r="M189" s="1">
        <f t="shared" si="56"/>
        <v>42.52604166666667</v>
      </c>
      <c r="N189" s="11">
        <v>0.157</v>
      </c>
      <c r="O189" s="4">
        <f t="shared" si="57"/>
        <v>41.84287255316246</v>
      </c>
      <c r="P189" s="1">
        <f t="shared" si="58"/>
        <v>0.5805729166666663</v>
      </c>
      <c r="Q189" s="4">
        <f t="shared" si="59"/>
        <v>0.0036887086562146084</v>
      </c>
    </row>
    <row r="190" spans="1:17" ht="12.75">
      <c r="A190">
        <v>14</v>
      </c>
      <c r="B190" s="1">
        <f aca="true" t="shared" si="62" ref="B190:B201">B189</f>
        <v>6.6595</v>
      </c>
      <c r="C190" s="1">
        <f aca="true" t="shared" si="63" ref="C190:C201">C189-zflange/12</f>
        <v>40.677083333333336</v>
      </c>
      <c r="D190" s="2">
        <f t="shared" si="48"/>
        <v>15</v>
      </c>
      <c r="E190" s="1">
        <f t="shared" si="49"/>
        <v>6.6595</v>
      </c>
      <c r="F190" s="1">
        <f t="shared" si="50"/>
        <v>36.97916666666667</v>
      </c>
      <c r="G190">
        <v>14</v>
      </c>
      <c r="H190" s="1">
        <f t="shared" si="51"/>
        <v>3.6979166666666643</v>
      </c>
      <c r="I190" s="1">
        <f t="shared" si="52"/>
        <v>0</v>
      </c>
      <c r="J190" s="1">
        <f t="shared" si="53"/>
        <v>0</v>
      </c>
      <c r="K190" s="1">
        <f t="shared" si="54"/>
        <v>-1.8489583333333321</v>
      </c>
      <c r="L190" s="1">
        <f t="shared" si="55"/>
        <v>6.6595</v>
      </c>
      <c r="M190" s="1">
        <f t="shared" si="56"/>
        <v>38.828125</v>
      </c>
      <c r="N190" s="1">
        <f>N189</f>
        <v>0.157</v>
      </c>
      <c r="O190" s="4">
        <f t="shared" si="57"/>
        <v>41.84287255316246</v>
      </c>
      <c r="P190" s="1">
        <f t="shared" si="58"/>
        <v>0.5805729166666663</v>
      </c>
      <c r="Q190" s="4">
        <f t="shared" si="59"/>
        <v>0.0036887086562146084</v>
      </c>
    </row>
    <row r="191" spans="1:17" ht="12.75">
      <c r="A191">
        <v>15</v>
      </c>
      <c r="B191" s="1">
        <f t="shared" si="62"/>
        <v>6.6595</v>
      </c>
      <c r="C191" s="1">
        <f t="shared" si="63"/>
        <v>36.97916666666667</v>
      </c>
      <c r="D191" s="2">
        <f t="shared" si="48"/>
        <v>16</v>
      </c>
      <c r="E191" s="1">
        <f t="shared" si="49"/>
        <v>6.6595</v>
      </c>
      <c r="F191" s="1">
        <f t="shared" si="50"/>
        <v>33.28125000000001</v>
      </c>
      <c r="G191">
        <v>15</v>
      </c>
      <c r="H191" s="1">
        <f t="shared" si="51"/>
        <v>3.6979166666666643</v>
      </c>
      <c r="I191" s="1">
        <f t="shared" si="52"/>
        <v>0</v>
      </c>
      <c r="J191" s="1">
        <f t="shared" si="53"/>
        <v>0</v>
      </c>
      <c r="K191" s="1">
        <f t="shared" si="54"/>
        <v>-1.8489583333333321</v>
      </c>
      <c r="L191" s="1">
        <f t="shared" si="55"/>
        <v>6.6595</v>
      </c>
      <c r="M191" s="1">
        <f t="shared" si="56"/>
        <v>35.13020833333334</v>
      </c>
      <c r="N191" s="1">
        <v>0.157</v>
      </c>
      <c r="O191" s="4">
        <f t="shared" si="57"/>
        <v>41.84287255316246</v>
      </c>
      <c r="P191" s="1">
        <f t="shared" si="58"/>
        <v>0.5805729166666663</v>
      </c>
      <c r="Q191" s="4">
        <f t="shared" si="59"/>
        <v>0.0036887086562146084</v>
      </c>
    </row>
    <row r="192" spans="1:17" ht="12.75">
      <c r="A192">
        <v>16</v>
      </c>
      <c r="B192" s="1">
        <f t="shared" si="62"/>
        <v>6.6595</v>
      </c>
      <c r="C192" s="1">
        <f t="shared" si="63"/>
        <v>33.28125000000001</v>
      </c>
      <c r="D192" s="2">
        <f t="shared" si="48"/>
        <v>17</v>
      </c>
      <c r="E192" s="1">
        <f t="shared" si="49"/>
        <v>6.6595</v>
      </c>
      <c r="F192" s="1">
        <f t="shared" si="50"/>
        <v>29.58333333333334</v>
      </c>
      <c r="G192">
        <v>16</v>
      </c>
      <c r="H192" s="1">
        <f t="shared" si="51"/>
        <v>3.697916666666668</v>
      </c>
      <c r="I192" s="1">
        <f t="shared" si="52"/>
        <v>0</v>
      </c>
      <c r="J192" s="1">
        <f t="shared" si="53"/>
        <v>0</v>
      </c>
      <c r="K192" s="1">
        <f t="shared" si="54"/>
        <v>-1.848958333333334</v>
      </c>
      <c r="L192" s="1">
        <f t="shared" si="55"/>
        <v>6.6595</v>
      </c>
      <c r="M192" s="1">
        <f t="shared" si="56"/>
        <v>31.43229166666667</v>
      </c>
      <c r="N192" s="1">
        <v>0.157</v>
      </c>
      <c r="O192" s="4">
        <f t="shared" si="57"/>
        <v>41.84287255316246</v>
      </c>
      <c r="P192" s="1">
        <f t="shared" si="58"/>
        <v>0.5805729166666669</v>
      </c>
      <c r="Q192" s="4">
        <f t="shared" si="59"/>
        <v>0.003688708656214605</v>
      </c>
    </row>
    <row r="193" spans="1:17" ht="12.75">
      <c r="A193">
        <v>17</v>
      </c>
      <c r="B193" s="1">
        <f t="shared" si="62"/>
        <v>6.6595</v>
      </c>
      <c r="C193" s="1">
        <f t="shared" si="63"/>
        <v>29.58333333333334</v>
      </c>
      <c r="D193" s="2">
        <f t="shared" si="48"/>
        <v>18</v>
      </c>
      <c r="E193" s="1">
        <f t="shared" si="49"/>
        <v>6.6595</v>
      </c>
      <c r="F193" s="1">
        <f t="shared" si="50"/>
        <v>25.88541666666667</v>
      </c>
      <c r="G193">
        <v>17</v>
      </c>
      <c r="H193" s="1">
        <f t="shared" si="51"/>
        <v>3.697916666666668</v>
      </c>
      <c r="I193" s="1">
        <f t="shared" si="52"/>
        <v>0</v>
      </c>
      <c r="J193" s="1">
        <f t="shared" si="53"/>
        <v>0</v>
      </c>
      <c r="K193" s="1">
        <f t="shared" si="54"/>
        <v>-1.848958333333334</v>
      </c>
      <c r="L193" s="1">
        <f t="shared" si="55"/>
        <v>6.6595</v>
      </c>
      <c r="M193" s="1">
        <f t="shared" si="56"/>
        <v>27.734375000000007</v>
      </c>
      <c r="N193" s="1">
        <v>0.157</v>
      </c>
      <c r="O193" s="4">
        <f t="shared" si="57"/>
        <v>41.84287255316246</v>
      </c>
      <c r="P193" s="1">
        <f t="shared" si="58"/>
        <v>0.5805729166666669</v>
      </c>
      <c r="Q193" s="4">
        <f t="shared" si="59"/>
        <v>0.003688708656214605</v>
      </c>
    </row>
    <row r="194" spans="1:17" ht="12.75">
      <c r="A194">
        <v>18</v>
      </c>
      <c r="B194" s="1">
        <f t="shared" si="62"/>
        <v>6.6595</v>
      </c>
      <c r="C194" s="1">
        <f t="shared" si="63"/>
        <v>25.88541666666667</v>
      </c>
      <c r="D194" s="2">
        <f t="shared" si="48"/>
        <v>19</v>
      </c>
      <c r="E194" s="1">
        <f t="shared" si="49"/>
        <v>6.6595</v>
      </c>
      <c r="F194" s="1">
        <f t="shared" si="50"/>
        <v>22.187500000000004</v>
      </c>
      <c r="G194">
        <v>18</v>
      </c>
      <c r="H194" s="1">
        <f t="shared" si="51"/>
        <v>3.697916666666668</v>
      </c>
      <c r="I194" s="1">
        <f t="shared" si="52"/>
        <v>0</v>
      </c>
      <c r="J194" s="1">
        <f t="shared" si="53"/>
        <v>0</v>
      </c>
      <c r="K194" s="1">
        <f t="shared" si="54"/>
        <v>-1.848958333333334</v>
      </c>
      <c r="L194" s="1">
        <f t="shared" si="55"/>
        <v>6.6595</v>
      </c>
      <c r="M194" s="1">
        <f t="shared" si="56"/>
        <v>24.036458333333336</v>
      </c>
      <c r="N194" s="1">
        <v>0.157</v>
      </c>
      <c r="O194" s="4">
        <f t="shared" si="57"/>
        <v>41.84287255316246</v>
      </c>
      <c r="P194" s="1">
        <f t="shared" si="58"/>
        <v>0.5805729166666669</v>
      </c>
      <c r="Q194" s="4">
        <f t="shared" si="59"/>
        <v>0.003688708656214605</v>
      </c>
    </row>
    <row r="195" spans="1:17" ht="12.75">
      <c r="A195">
        <v>19</v>
      </c>
      <c r="B195" s="1">
        <f t="shared" si="62"/>
        <v>6.6595</v>
      </c>
      <c r="C195" s="1">
        <f t="shared" si="63"/>
        <v>22.187500000000004</v>
      </c>
      <c r="D195" s="2">
        <f t="shared" si="48"/>
        <v>20</v>
      </c>
      <c r="E195" s="1">
        <f t="shared" si="49"/>
        <v>6.6595</v>
      </c>
      <c r="F195" s="1">
        <f t="shared" si="50"/>
        <v>18.489583333333336</v>
      </c>
      <c r="G195">
        <v>19</v>
      </c>
      <c r="H195" s="1">
        <f t="shared" si="51"/>
        <v>3.697916666666668</v>
      </c>
      <c r="I195" s="1">
        <f t="shared" si="52"/>
        <v>0</v>
      </c>
      <c r="J195" s="1">
        <f t="shared" si="53"/>
        <v>0</v>
      </c>
      <c r="K195" s="1">
        <f t="shared" si="54"/>
        <v>-1.848958333333334</v>
      </c>
      <c r="L195" s="1">
        <f t="shared" si="55"/>
        <v>6.6595</v>
      </c>
      <c r="M195" s="1">
        <f t="shared" si="56"/>
        <v>20.33854166666667</v>
      </c>
      <c r="N195" s="1">
        <v>0.157</v>
      </c>
      <c r="O195" s="4">
        <f t="shared" si="57"/>
        <v>41.84287255316246</v>
      </c>
      <c r="P195" s="1">
        <f t="shared" si="58"/>
        <v>0.5805729166666669</v>
      </c>
      <c r="Q195" s="4">
        <f t="shared" si="59"/>
        <v>0.003688708656214605</v>
      </c>
    </row>
    <row r="196" spans="1:17" ht="12.75">
      <c r="A196">
        <v>20</v>
      </c>
      <c r="B196" s="1">
        <f t="shared" si="62"/>
        <v>6.6595</v>
      </c>
      <c r="C196" s="1">
        <f t="shared" si="63"/>
        <v>18.489583333333336</v>
      </c>
      <c r="D196" s="2">
        <f t="shared" si="48"/>
        <v>21</v>
      </c>
      <c r="E196" s="1">
        <f t="shared" si="49"/>
        <v>6.6595</v>
      </c>
      <c r="F196" s="1">
        <f t="shared" si="50"/>
        <v>14.79166666666667</v>
      </c>
      <c r="G196">
        <v>20</v>
      </c>
      <c r="H196" s="1">
        <f t="shared" si="51"/>
        <v>3.697916666666666</v>
      </c>
      <c r="I196" s="1">
        <f t="shared" si="52"/>
        <v>0</v>
      </c>
      <c r="J196" s="1">
        <f t="shared" si="53"/>
        <v>0</v>
      </c>
      <c r="K196" s="1">
        <f t="shared" si="54"/>
        <v>-1.848958333333333</v>
      </c>
      <c r="L196" s="1">
        <f t="shared" si="55"/>
        <v>6.6595</v>
      </c>
      <c r="M196" s="1">
        <f t="shared" si="56"/>
        <v>16.640625000000004</v>
      </c>
      <c r="N196" s="1">
        <v>0.157</v>
      </c>
      <c r="O196" s="4">
        <f t="shared" si="57"/>
        <v>41.84287255316246</v>
      </c>
      <c r="P196" s="1">
        <f t="shared" si="58"/>
        <v>0.5805729166666665</v>
      </c>
      <c r="Q196" s="4">
        <f t="shared" si="59"/>
        <v>0.003688708656214607</v>
      </c>
    </row>
    <row r="197" spans="1:17" ht="12.75">
      <c r="A197">
        <v>21</v>
      </c>
      <c r="B197" s="1">
        <f t="shared" si="62"/>
        <v>6.6595</v>
      </c>
      <c r="C197" s="1">
        <f t="shared" si="63"/>
        <v>14.79166666666667</v>
      </c>
      <c r="D197" s="2">
        <f t="shared" si="48"/>
        <v>22</v>
      </c>
      <c r="E197" s="1">
        <f t="shared" si="49"/>
        <v>6.6595</v>
      </c>
      <c r="F197" s="1">
        <f t="shared" si="50"/>
        <v>11.093750000000004</v>
      </c>
      <c r="G197">
        <v>21</v>
      </c>
      <c r="H197" s="1">
        <f t="shared" si="51"/>
        <v>3.697916666666666</v>
      </c>
      <c r="I197" s="1">
        <f t="shared" si="52"/>
        <v>0</v>
      </c>
      <c r="J197" s="1">
        <f t="shared" si="53"/>
        <v>0</v>
      </c>
      <c r="K197" s="1">
        <f t="shared" si="54"/>
        <v>-1.848958333333333</v>
      </c>
      <c r="L197" s="1">
        <f t="shared" si="55"/>
        <v>6.6595</v>
      </c>
      <c r="M197" s="1">
        <f t="shared" si="56"/>
        <v>12.942708333333336</v>
      </c>
      <c r="N197" s="1">
        <v>0.157</v>
      </c>
      <c r="O197" s="4">
        <f t="shared" si="57"/>
        <v>41.84287255316246</v>
      </c>
      <c r="P197" s="1">
        <f t="shared" si="58"/>
        <v>0.5805729166666665</v>
      </c>
      <c r="Q197" s="4">
        <f t="shared" si="59"/>
        <v>0.003688708656214607</v>
      </c>
    </row>
    <row r="198" spans="1:17" ht="12.75">
      <c r="A198">
        <v>22</v>
      </c>
      <c r="B198" s="1">
        <f t="shared" si="62"/>
        <v>6.6595</v>
      </c>
      <c r="C198" s="1">
        <f t="shared" si="63"/>
        <v>11.093750000000004</v>
      </c>
      <c r="D198" s="2">
        <f t="shared" si="48"/>
        <v>23</v>
      </c>
      <c r="E198" s="1">
        <f t="shared" si="49"/>
        <v>6.6595</v>
      </c>
      <c r="F198" s="1">
        <f t="shared" si="50"/>
        <v>7.3958333333333375</v>
      </c>
      <c r="G198">
        <v>22</v>
      </c>
      <c r="H198" s="1">
        <f t="shared" si="51"/>
        <v>3.697916666666666</v>
      </c>
      <c r="I198" s="1">
        <f t="shared" si="52"/>
        <v>0</v>
      </c>
      <c r="J198" s="1">
        <f t="shared" si="53"/>
        <v>0</v>
      </c>
      <c r="K198" s="1">
        <f t="shared" si="54"/>
        <v>-1.848958333333333</v>
      </c>
      <c r="L198" s="1">
        <f t="shared" si="55"/>
        <v>6.6595</v>
      </c>
      <c r="M198" s="1">
        <f t="shared" si="56"/>
        <v>9.244791666666671</v>
      </c>
      <c r="N198" s="1">
        <v>0.157</v>
      </c>
      <c r="O198" s="4">
        <f t="shared" si="57"/>
        <v>41.84287255316246</v>
      </c>
      <c r="P198" s="1">
        <f t="shared" si="58"/>
        <v>0.5805729166666665</v>
      </c>
      <c r="Q198" s="4">
        <f t="shared" si="59"/>
        <v>0.003688708656214607</v>
      </c>
    </row>
    <row r="199" spans="1:17" ht="12.75">
      <c r="A199">
        <v>23</v>
      </c>
      <c r="B199" s="1">
        <f t="shared" si="62"/>
        <v>6.6595</v>
      </c>
      <c r="C199" s="1">
        <f t="shared" si="63"/>
        <v>7.3958333333333375</v>
      </c>
      <c r="D199" s="2">
        <f t="shared" si="48"/>
        <v>24</v>
      </c>
      <c r="E199" s="1">
        <f t="shared" si="49"/>
        <v>6.6595</v>
      </c>
      <c r="F199" s="1">
        <f t="shared" si="50"/>
        <v>3.697916666666671</v>
      </c>
      <c r="G199">
        <v>23</v>
      </c>
      <c r="H199" s="1">
        <f t="shared" si="51"/>
        <v>3.6979166666666665</v>
      </c>
      <c r="I199" s="1">
        <f t="shared" si="52"/>
        <v>0</v>
      </c>
      <c r="J199" s="1">
        <f t="shared" si="53"/>
        <v>0</v>
      </c>
      <c r="K199" s="1">
        <f t="shared" si="54"/>
        <v>-1.8489583333333333</v>
      </c>
      <c r="L199" s="1">
        <f t="shared" si="55"/>
        <v>6.6595</v>
      </c>
      <c r="M199" s="1">
        <f t="shared" si="56"/>
        <v>5.546875000000004</v>
      </c>
      <c r="N199" s="1">
        <v>0.157</v>
      </c>
      <c r="O199" s="4">
        <f t="shared" si="57"/>
        <v>41.84287255316246</v>
      </c>
      <c r="P199" s="1">
        <f t="shared" si="58"/>
        <v>0.5805729166666667</v>
      </c>
      <c r="Q199" s="4">
        <f t="shared" si="59"/>
        <v>0.0036887086562146063</v>
      </c>
    </row>
    <row r="200" spans="1:17" ht="12.75">
      <c r="A200">
        <v>24</v>
      </c>
      <c r="B200" s="1">
        <f t="shared" si="62"/>
        <v>6.6595</v>
      </c>
      <c r="C200" s="1">
        <f t="shared" si="63"/>
        <v>3.697916666666671</v>
      </c>
      <c r="D200" s="2">
        <f t="shared" si="48"/>
        <v>25</v>
      </c>
      <c r="E200" s="1">
        <f t="shared" si="49"/>
        <v>6.6595</v>
      </c>
      <c r="F200" s="1">
        <f t="shared" si="50"/>
        <v>4.440892098500626E-15</v>
      </c>
      <c r="G200">
        <v>24</v>
      </c>
      <c r="H200" s="1">
        <f t="shared" si="51"/>
        <v>3.6979166666666665</v>
      </c>
      <c r="I200" s="1">
        <f t="shared" si="52"/>
        <v>0</v>
      </c>
      <c r="J200" s="1">
        <f t="shared" si="53"/>
        <v>0</v>
      </c>
      <c r="K200" s="1">
        <f t="shared" si="54"/>
        <v>-1.8489583333333333</v>
      </c>
      <c r="L200" s="1">
        <f t="shared" si="55"/>
        <v>6.6595</v>
      </c>
      <c r="M200" s="1">
        <f t="shared" si="56"/>
        <v>1.8489583333333377</v>
      </c>
      <c r="N200" s="1">
        <v>0.157</v>
      </c>
      <c r="O200" s="4">
        <f t="shared" si="57"/>
        <v>41.84287255316246</v>
      </c>
      <c r="P200" s="1">
        <f t="shared" si="58"/>
        <v>0.5805729166666667</v>
      </c>
      <c r="Q200" s="4">
        <f t="shared" si="59"/>
        <v>0.0036887086562146063</v>
      </c>
    </row>
    <row r="201" spans="1:8" ht="12.75">
      <c r="A201">
        <v>25</v>
      </c>
      <c r="B201" s="1">
        <f t="shared" si="62"/>
        <v>6.6595</v>
      </c>
      <c r="C201" s="1">
        <f t="shared" si="63"/>
        <v>4.440892098500626E-15</v>
      </c>
      <c r="E201" s="1"/>
      <c r="F201" s="1"/>
      <c r="H201" s="1"/>
    </row>
    <row r="202" ht="12.75">
      <c r="C202" s="1" t="s">
        <v>64</v>
      </c>
    </row>
    <row r="204" spans="1:5" ht="12.75">
      <c r="A204" t="s">
        <v>199</v>
      </c>
      <c r="E204" t="s">
        <v>64</v>
      </c>
    </row>
    <row r="206" spans="1:3" ht="12.75">
      <c r="A206" t="s">
        <v>200</v>
      </c>
      <c r="B206" s="13">
        <v>1</v>
      </c>
      <c r="C206" t="s">
        <v>136</v>
      </c>
    </row>
    <row r="207" spans="1:3" ht="12.75">
      <c r="A207" t="s">
        <v>135</v>
      </c>
      <c r="B207" s="12">
        <v>1</v>
      </c>
      <c r="C207" t="s">
        <v>136</v>
      </c>
    </row>
    <row r="209" spans="2:3" ht="12.75">
      <c r="B209" s="1" t="s">
        <v>86</v>
      </c>
      <c r="C209" s="1" t="s">
        <v>87</v>
      </c>
    </row>
    <row r="210" spans="1:5" ht="25.5" customHeight="1">
      <c r="A210" s="2" t="s">
        <v>201</v>
      </c>
      <c r="B210" s="11">
        <v>24.294</v>
      </c>
      <c r="C210" s="11">
        <v>64.095</v>
      </c>
      <c r="E210" t="s">
        <v>64</v>
      </c>
    </row>
    <row r="211" spans="1:5" ht="39" customHeight="1">
      <c r="A211" s="2" t="s">
        <v>0</v>
      </c>
      <c r="B211" s="11">
        <v>47.027</v>
      </c>
      <c r="C211" s="11">
        <v>55.141</v>
      </c>
      <c r="E211" t="s">
        <v>64</v>
      </c>
    </row>
    <row r="212" spans="1:3" ht="39" customHeight="1">
      <c r="A212" s="2" t="s">
        <v>73</v>
      </c>
      <c r="B212" s="1">
        <f>90-ABS(ATAN((B211-B210)/(C211-C210))*180/PI())</f>
        <v>21.498326858548637</v>
      </c>
      <c r="C212" s="1"/>
    </row>
    <row r="213" spans="1:3" ht="25.5" customHeight="1">
      <c r="A213" s="2" t="s">
        <v>1</v>
      </c>
      <c r="B213" s="1">
        <f>B210+(B207+B206/2)*COS((90-B212)*PI()/180)</f>
        <v>24.84371108501252</v>
      </c>
      <c r="C213" s="1">
        <f>C210+(B207+B206/2)*SIN((90-B212)*PI()/180)</f>
        <v>65.4906424051362</v>
      </c>
    </row>
    <row r="214" spans="1:3" ht="51.75" customHeight="1">
      <c r="A214" s="2" t="s">
        <v>2</v>
      </c>
      <c r="B214" s="1">
        <f>B211+(B207+B206/2)*COS((90-B212)*PI()/180)</f>
        <v>47.57671108501252</v>
      </c>
      <c r="C214" s="1">
        <f>C211+(B207+B206/2)*SIN((90-B212)*PI()/180)</f>
        <v>56.5366424051362</v>
      </c>
    </row>
    <row r="215" spans="2:3" ht="12.75">
      <c r="B215" s="1"/>
      <c r="C215" s="1"/>
    </row>
    <row r="216" spans="1:3" ht="12.75">
      <c r="A216" t="s">
        <v>84</v>
      </c>
      <c r="B216" s="7">
        <v>6</v>
      </c>
      <c r="C216" s="1"/>
    </row>
    <row r="217" spans="1:3" ht="12.75">
      <c r="A217" t="s">
        <v>156</v>
      </c>
      <c r="B217" s="1">
        <f>SQRT((B214-B213)^2+(C214-C213)^2)/B216</f>
        <v>4.072139094573706</v>
      </c>
      <c r="C217" s="1" t="s">
        <v>136</v>
      </c>
    </row>
    <row r="218" spans="2:20" ht="12.75">
      <c r="B218" t="s">
        <v>156</v>
      </c>
      <c r="C218" t="s">
        <v>73</v>
      </c>
      <c r="D218" s="1" t="s">
        <v>3</v>
      </c>
      <c r="E218" s="1" t="s">
        <v>4</v>
      </c>
      <c r="G218" s="2"/>
      <c r="I218"/>
      <c r="J218"/>
      <c r="K218"/>
      <c r="Q218" s="1"/>
      <c r="R218" s="1"/>
      <c r="S218" s="1"/>
      <c r="T218" s="4"/>
    </row>
    <row r="219" spans="1:20" ht="12.75">
      <c r="A219">
        <v>1</v>
      </c>
      <c r="B219">
        <f aca="true" t="shared" si="64" ref="B219:B225">dl</f>
        <v>4.072139094573706</v>
      </c>
      <c r="C219">
        <f aca="true" t="shared" si="65" ref="C219:C225">theta</f>
        <v>21.498326858548637</v>
      </c>
      <c r="D219" s="1">
        <f>B213</f>
        <v>24.84371108501252</v>
      </c>
      <c r="E219" s="1">
        <f>C213</f>
        <v>65.4906424051362</v>
      </c>
      <c r="G219" s="2"/>
      <c r="I219"/>
      <c r="J219"/>
      <c r="K219"/>
      <c r="Q219" s="1"/>
      <c r="R219" s="1"/>
      <c r="S219" s="1"/>
      <c r="T219" s="4"/>
    </row>
    <row r="220" spans="1:20" ht="12.75">
      <c r="A220">
        <v>2</v>
      </c>
      <c r="B220">
        <f t="shared" si="64"/>
        <v>4.072139094573706</v>
      </c>
      <c r="C220">
        <f t="shared" si="65"/>
        <v>21.498326858548637</v>
      </c>
      <c r="D220" s="1">
        <f aca="true" t="shared" si="66" ref="D220:D225">D219+dl*SIN((90-C219)*PI()/180)</f>
        <v>28.63254441834585</v>
      </c>
      <c r="E220" s="1">
        <f aca="true" t="shared" si="67" ref="E220:E225">E219-dl*COS((90-C219)*PI()/180)</f>
        <v>63.998309071802865</v>
      </c>
      <c r="G220" s="2"/>
      <c r="I220"/>
      <c r="J220"/>
      <c r="K220"/>
      <c r="Q220" s="1"/>
      <c r="R220" s="1"/>
      <c r="S220" s="1"/>
      <c r="T220" s="4"/>
    </row>
    <row r="221" spans="1:20" ht="12.75">
      <c r="A221">
        <v>3</v>
      </c>
      <c r="B221">
        <f t="shared" si="64"/>
        <v>4.072139094573706</v>
      </c>
      <c r="C221">
        <f t="shared" si="65"/>
        <v>21.498326858548637</v>
      </c>
      <c r="D221" s="1">
        <f t="shared" si="66"/>
        <v>32.42137775167919</v>
      </c>
      <c r="E221" s="1">
        <f t="shared" si="67"/>
        <v>62.50597573846953</v>
      </c>
      <c r="G221" s="2"/>
      <c r="I221"/>
      <c r="J221"/>
      <c r="K221"/>
      <c r="Q221" s="1"/>
      <c r="R221" s="1"/>
      <c r="S221" s="1"/>
      <c r="T221" s="4"/>
    </row>
    <row r="222" spans="1:20" ht="12.75">
      <c r="A222">
        <v>4</v>
      </c>
      <c r="B222">
        <f t="shared" si="64"/>
        <v>4.072139094573706</v>
      </c>
      <c r="C222">
        <f t="shared" si="65"/>
        <v>21.498326858548637</v>
      </c>
      <c r="D222" s="1">
        <f t="shared" si="66"/>
        <v>36.210211085012524</v>
      </c>
      <c r="E222" s="1">
        <f t="shared" si="67"/>
        <v>61.013642405136196</v>
      </c>
      <c r="G222" s="2"/>
      <c r="I222"/>
      <c r="J222"/>
      <c r="K222"/>
      <c r="Q222" s="1"/>
      <c r="R222" s="1"/>
      <c r="S222" s="1"/>
      <c r="T222" s="4"/>
    </row>
    <row r="223" spans="1:20" ht="12.75">
      <c r="A223">
        <v>5</v>
      </c>
      <c r="B223">
        <f t="shared" si="64"/>
        <v>4.072139094573706</v>
      </c>
      <c r="C223">
        <f t="shared" si="65"/>
        <v>21.498326858548637</v>
      </c>
      <c r="D223" s="1">
        <f t="shared" si="66"/>
        <v>39.99904441834586</v>
      </c>
      <c r="E223" s="1">
        <f t="shared" si="67"/>
        <v>59.52130907180286</v>
      </c>
      <c r="G223" s="2"/>
      <c r="I223"/>
      <c r="J223"/>
      <c r="K223"/>
      <c r="Q223" s="1"/>
      <c r="R223" s="1"/>
      <c r="S223" s="1"/>
      <c r="T223" s="4"/>
    </row>
    <row r="224" spans="1:20" ht="12.75">
      <c r="A224">
        <v>6</v>
      </c>
      <c r="B224">
        <f t="shared" si="64"/>
        <v>4.072139094573706</v>
      </c>
      <c r="C224">
        <f t="shared" si="65"/>
        <v>21.498326858548637</v>
      </c>
      <c r="D224" s="1">
        <f t="shared" si="66"/>
        <v>43.7878777516792</v>
      </c>
      <c r="E224" s="1">
        <f t="shared" si="67"/>
        <v>58.028975738469526</v>
      </c>
      <c r="G224" s="2"/>
      <c r="I224"/>
      <c r="J224"/>
      <c r="K224"/>
      <c r="Q224" s="1"/>
      <c r="R224" s="1"/>
      <c r="S224" s="1"/>
      <c r="T224" s="4"/>
    </row>
    <row r="225" spans="1:20" ht="12.75">
      <c r="A225">
        <v>7</v>
      </c>
      <c r="B225">
        <f t="shared" si="64"/>
        <v>4.072139094573706</v>
      </c>
      <c r="C225">
        <f t="shared" si="65"/>
        <v>21.498326858548637</v>
      </c>
      <c r="D225" s="1">
        <f t="shared" si="66"/>
        <v>47.57671108501253</v>
      </c>
      <c r="E225" s="1">
        <f t="shared" si="67"/>
        <v>56.53664240513619</v>
      </c>
      <c r="G225" s="2"/>
      <c r="I225"/>
      <c r="J225"/>
      <c r="K225"/>
      <c r="Q225" s="1"/>
      <c r="R225" s="1"/>
      <c r="S225" s="1"/>
      <c r="T225" s="4"/>
    </row>
    <row r="226" spans="1:21" s="2" customFormat="1" ht="39" customHeight="1">
      <c r="A226" s="2" t="s">
        <v>85</v>
      </c>
      <c r="B226" s="2" t="s">
        <v>86</v>
      </c>
      <c r="C226" s="2" t="s">
        <v>87</v>
      </c>
      <c r="D226" s="2" t="s">
        <v>85</v>
      </c>
      <c r="E226" s="2" t="s">
        <v>86</v>
      </c>
      <c r="F226" s="2" t="s">
        <v>87</v>
      </c>
      <c r="G226" s="2" t="s">
        <v>85</v>
      </c>
      <c r="H226" s="2" t="s">
        <v>89</v>
      </c>
      <c r="I226" s="3" t="s">
        <v>90</v>
      </c>
      <c r="J226" s="3" t="s">
        <v>91</v>
      </c>
      <c r="K226" s="3" t="s">
        <v>92</v>
      </c>
      <c r="L226" s="3" t="s">
        <v>93</v>
      </c>
      <c r="M226" s="3" t="s">
        <v>94</v>
      </c>
      <c r="N226" s="3" t="s">
        <v>95</v>
      </c>
      <c r="O226" s="5" t="s">
        <v>96</v>
      </c>
      <c r="P226" s="3" t="s">
        <v>97</v>
      </c>
      <c r="Q226" s="5" t="s">
        <v>98</v>
      </c>
      <c r="R226" s="3" t="s">
        <v>5</v>
      </c>
      <c r="S226" s="3"/>
      <c r="U226" s="5"/>
    </row>
    <row r="227" spans="2:21" s="2" customFormat="1" ht="39" customHeight="1">
      <c r="B227" s="2" t="s">
        <v>107</v>
      </c>
      <c r="C227" s="2" t="s">
        <v>107</v>
      </c>
      <c r="D227" s="2" t="s">
        <v>64</v>
      </c>
      <c r="E227" s="2" t="s">
        <v>107</v>
      </c>
      <c r="F227" s="2" t="s">
        <v>107</v>
      </c>
      <c r="G227" s="2" t="s">
        <v>64</v>
      </c>
      <c r="H227" s="2" t="s">
        <v>107</v>
      </c>
      <c r="I227" s="2" t="s">
        <v>109</v>
      </c>
      <c r="J227" s="2" t="s">
        <v>107</v>
      </c>
      <c r="K227" s="2" t="s">
        <v>107</v>
      </c>
      <c r="L227" s="2" t="s">
        <v>107</v>
      </c>
      <c r="M227" s="2" t="s">
        <v>107</v>
      </c>
      <c r="N227" s="2" t="s">
        <v>107</v>
      </c>
      <c r="O227" s="5" t="s">
        <v>107</v>
      </c>
      <c r="P227" s="3" t="s">
        <v>110</v>
      </c>
      <c r="Q227" s="5" t="s">
        <v>111</v>
      </c>
      <c r="R227" s="2" t="s">
        <v>6</v>
      </c>
      <c r="U227" s="5"/>
    </row>
    <row r="228" spans="1:22" ht="12.75">
      <c r="A228">
        <f aca="true" t="shared" si="68" ref="A228:A234">A219</f>
        <v>1</v>
      </c>
      <c r="B228" s="1">
        <f aca="true" t="shared" si="69" ref="B228:C234">D219</f>
        <v>24.84371108501252</v>
      </c>
      <c r="C228" s="1">
        <f t="shared" si="69"/>
        <v>65.4906424051362</v>
      </c>
      <c r="D228" s="2">
        <f aca="true" t="shared" si="70" ref="D228:F233">A229</f>
        <v>2</v>
      </c>
      <c r="E228" s="1">
        <f t="shared" si="70"/>
        <v>28.63254441834585</v>
      </c>
      <c r="F228" s="1">
        <f t="shared" si="70"/>
        <v>63.998309071802865</v>
      </c>
      <c r="G228">
        <v>1</v>
      </c>
      <c r="H228" s="1">
        <f aca="true" t="shared" si="71" ref="H228:H233">SQRT((B228-E228)^2+(C228-F228)^2)</f>
        <v>4.072139094573705</v>
      </c>
      <c r="I228" s="1">
        <f aca="true" t="shared" si="72" ref="I228:I233">ASIN(ABS(B228-E228)/H228)</f>
        <v>1.1955797394432932</v>
      </c>
      <c r="J228" s="1">
        <f aca="true" t="shared" si="73" ref="J228:J233">H228/2*SIN(I228)</f>
        <v>1.8944166666666664</v>
      </c>
      <c r="K228" s="1">
        <f aca="true" t="shared" si="74" ref="K228:K233">-H228/2*COS(I228)</f>
        <v>-0.7461666666666674</v>
      </c>
      <c r="L228" s="1">
        <f aca="true" t="shared" si="75" ref="L228:L233">MIN(B228,E228)+J228</f>
        <v>26.738127751679187</v>
      </c>
      <c r="M228" s="1">
        <f aca="true" t="shared" si="76" ref="M228:M233">MAX(C228,F228)+K228</f>
        <v>64.74447573846953</v>
      </c>
      <c r="N228" s="1">
        <f>B206</f>
        <v>1</v>
      </c>
      <c r="O228" s="4">
        <f aca="true" t="shared" si="77" ref="O228:O233">2*PI()*L228</f>
        <v>168.00061143084142</v>
      </c>
      <c r="P228" s="1">
        <f aca="true" t="shared" si="78" ref="P228:P233">H228*N228</f>
        <v>4.072139094573705</v>
      </c>
      <c r="Q228" s="4">
        <f aca="true" t="shared" si="79" ref="Q228:Q233">resss*100/2.54*O228/P228</f>
        <v>0.0012506772983553534</v>
      </c>
      <c r="R228" s="4">
        <f aca="true" t="shared" si="80" ref="R228:R233">1/Q228</f>
        <v>799.5667637967082</v>
      </c>
      <c r="T228" s="1"/>
      <c r="V228" s="1"/>
    </row>
    <row r="229" spans="1:22" ht="12.75">
      <c r="A229">
        <f t="shared" si="68"/>
        <v>2</v>
      </c>
      <c r="B229" s="1">
        <f t="shared" si="69"/>
        <v>28.63254441834585</v>
      </c>
      <c r="C229" s="1">
        <f t="shared" si="69"/>
        <v>63.998309071802865</v>
      </c>
      <c r="D229" s="2">
        <f t="shared" si="70"/>
        <v>3</v>
      </c>
      <c r="E229" s="1">
        <f t="shared" si="70"/>
        <v>32.42137775167919</v>
      </c>
      <c r="F229" s="1">
        <f t="shared" si="70"/>
        <v>62.50597573846953</v>
      </c>
      <c r="G229">
        <f>G228+1</f>
        <v>2</v>
      </c>
      <c r="H229" s="1">
        <f t="shared" si="71"/>
        <v>4.072139094573709</v>
      </c>
      <c r="I229" s="1">
        <f t="shared" si="72"/>
        <v>1.1955797394432934</v>
      </c>
      <c r="J229" s="1">
        <f t="shared" si="73"/>
        <v>1.8944166666666682</v>
      </c>
      <c r="K229" s="1">
        <f t="shared" si="74"/>
        <v>-0.7461666666666676</v>
      </c>
      <c r="L229" s="1">
        <f t="shared" si="75"/>
        <v>30.52696108501252</v>
      </c>
      <c r="M229" s="1">
        <f t="shared" si="76"/>
        <v>63.2521424051362</v>
      </c>
      <c r="N229" s="1">
        <f>N228</f>
        <v>1</v>
      </c>
      <c r="O229" s="4">
        <f t="shared" si="77"/>
        <v>191.80655336219365</v>
      </c>
      <c r="P229" s="1">
        <f t="shared" si="78"/>
        <v>4.072139094573709</v>
      </c>
      <c r="Q229" s="4">
        <f t="shared" si="79"/>
        <v>0.0014279001720456932</v>
      </c>
      <c r="R229" s="4">
        <f t="shared" si="80"/>
        <v>700.3290703210306</v>
      </c>
      <c r="T229" s="1"/>
      <c r="V229" s="1"/>
    </row>
    <row r="230" spans="1:22" ht="12.75">
      <c r="A230">
        <f t="shared" si="68"/>
        <v>3</v>
      </c>
      <c r="B230" s="1">
        <f t="shared" si="69"/>
        <v>32.42137775167919</v>
      </c>
      <c r="C230" s="1">
        <f t="shared" si="69"/>
        <v>62.50597573846953</v>
      </c>
      <c r="D230" s="2">
        <f t="shared" si="70"/>
        <v>4</v>
      </c>
      <c r="E230" s="1">
        <f t="shared" si="70"/>
        <v>36.210211085012524</v>
      </c>
      <c r="F230" s="1">
        <f t="shared" si="70"/>
        <v>61.013642405136196</v>
      </c>
      <c r="G230">
        <f>G229+1</f>
        <v>3</v>
      </c>
      <c r="H230" s="1">
        <f t="shared" si="71"/>
        <v>4.072139094573709</v>
      </c>
      <c r="I230" s="1">
        <f t="shared" si="72"/>
        <v>1.1955797394432934</v>
      </c>
      <c r="J230" s="1">
        <f t="shared" si="73"/>
        <v>1.8944166666666682</v>
      </c>
      <c r="K230" s="1">
        <f t="shared" si="74"/>
        <v>-0.7461666666666676</v>
      </c>
      <c r="L230" s="1">
        <f t="shared" si="75"/>
        <v>34.31579441834586</v>
      </c>
      <c r="M230" s="1">
        <f t="shared" si="76"/>
        <v>61.75980907180286</v>
      </c>
      <c r="N230" s="1">
        <f>N229</f>
        <v>1</v>
      </c>
      <c r="O230" s="4">
        <f t="shared" si="77"/>
        <v>215.61249529354595</v>
      </c>
      <c r="P230" s="1">
        <f t="shared" si="78"/>
        <v>4.072139094573709</v>
      </c>
      <c r="Q230" s="4">
        <f t="shared" si="79"/>
        <v>0.0016051230457360343</v>
      </c>
      <c r="R230" s="4">
        <f t="shared" si="80"/>
        <v>623.0051974248782</v>
      </c>
      <c r="T230" s="1"/>
      <c r="V230" s="1"/>
    </row>
    <row r="231" spans="1:22" ht="12.75">
      <c r="A231">
        <f t="shared" si="68"/>
        <v>4</v>
      </c>
      <c r="B231" s="1">
        <f t="shared" si="69"/>
        <v>36.210211085012524</v>
      </c>
      <c r="C231" s="1">
        <f t="shared" si="69"/>
        <v>61.013642405136196</v>
      </c>
      <c r="D231" s="2">
        <f t="shared" si="70"/>
        <v>5</v>
      </c>
      <c r="E231" s="1">
        <f t="shared" si="70"/>
        <v>39.99904441834586</v>
      </c>
      <c r="F231" s="1">
        <f t="shared" si="70"/>
        <v>59.52130907180286</v>
      </c>
      <c r="G231">
        <f>G230+1</f>
        <v>4</v>
      </c>
      <c r="H231" s="1">
        <f t="shared" si="71"/>
        <v>4.072139094573709</v>
      </c>
      <c r="I231" s="1">
        <f t="shared" si="72"/>
        <v>1.1955797394432934</v>
      </c>
      <c r="J231" s="1">
        <f t="shared" si="73"/>
        <v>1.8944166666666682</v>
      </c>
      <c r="K231" s="1">
        <f t="shared" si="74"/>
        <v>-0.7461666666666676</v>
      </c>
      <c r="L231" s="1">
        <f t="shared" si="75"/>
        <v>38.10462775167919</v>
      </c>
      <c r="M231" s="1">
        <f t="shared" si="76"/>
        <v>60.26747573846953</v>
      </c>
      <c r="N231" s="1">
        <f>N230</f>
        <v>1</v>
      </c>
      <c r="O231" s="4">
        <f t="shared" si="77"/>
        <v>239.41843722489818</v>
      </c>
      <c r="P231" s="1">
        <f t="shared" si="78"/>
        <v>4.072139094573709</v>
      </c>
      <c r="Q231" s="4">
        <f t="shared" si="79"/>
        <v>0.001782345919426375</v>
      </c>
      <c r="R231" s="4">
        <f t="shared" si="80"/>
        <v>561.0583159535255</v>
      </c>
      <c r="T231" s="1"/>
      <c r="V231" s="1"/>
    </row>
    <row r="232" spans="1:22" ht="12.75">
      <c r="A232">
        <f t="shared" si="68"/>
        <v>5</v>
      </c>
      <c r="B232" s="1">
        <f t="shared" si="69"/>
        <v>39.99904441834586</v>
      </c>
      <c r="C232" s="1">
        <f t="shared" si="69"/>
        <v>59.52130907180286</v>
      </c>
      <c r="D232" s="2">
        <f t="shared" si="70"/>
        <v>6</v>
      </c>
      <c r="E232" s="1">
        <f t="shared" si="70"/>
        <v>43.7878777516792</v>
      </c>
      <c r="F232" s="1">
        <f t="shared" si="70"/>
        <v>58.028975738469526</v>
      </c>
      <c r="G232">
        <f>G231+1</f>
        <v>5</v>
      </c>
      <c r="H232" s="1">
        <f t="shared" si="71"/>
        <v>4.072139094573709</v>
      </c>
      <c r="I232" s="1">
        <f t="shared" si="72"/>
        <v>1.1955797394432934</v>
      </c>
      <c r="J232" s="1">
        <f t="shared" si="73"/>
        <v>1.8944166666666682</v>
      </c>
      <c r="K232" s="1">
        <f t="shared" si="74"/>
        <v>-0.7461666666666676</v>
      </c>
      <c r="L232" s="1">
        <f t="shared" si="75"/>
        <v>41.89346108501253</v>
      </c>
      <c r="M232" s="1">
        <f t="shared" si="76"/>
        <v>58.775142405136194</v>
      </c>
      <c r="N232" s="1">
        <f>N231</f>
        <v>1</v>
      </c>
      <c r="O232" s="4">
        <f t="shared" si="77"/>
        <v>263.2243791562505</v>
      </c>
      <c r="P232" s="1">
        <f t="shared" si="78"/>
        <v>4.072139094573709</v>
      </c>
      <c r="Q232" s="4">
        <f t="shared" si="79"/>
        <v>0.0019595687931167165</v>
      </c>
      <c r="R232" s="4">
        <f t="shared" si="80"/>
        <v>510.3163530224875</v>
      </c>
      <c r="T232" s="1"/>
      <c r="V232" s="1"/>
    </row>
    <row r="233" spans="1:22" ht="12.75">
      <c r="A233">
        <f t="shared" si="68"/>
        <v>6</v>
      </c>
      <c r="B233" s="1">
        <f t="shared" si="69"/>
        <v>43.7878777516792</v>
      </c>
      <c r="C233" s="1">
        <f t="shared" si="69"/>
        <v>58.028975738469526</v>
      </c>
      <c r="D233" s="2">
        <f t="shared" si="70"/>
        <v>7</v>
      </c>
      <c r="E233" s="1">
        <f t="shared" si="70"/>
        <v>47.57671108501253</v>
      </c>
      <c r="F233" s="1">
        <f t="shared" si="70"/>
        <v>56.53664240513619</v>
      </c>
      <c r="G233">
        <f>G232+1</f>
        <v>6</v>
      </c>
      <c r="H233" s="1">
        <f t="shared" si="71"/>
        <v>4.072139094573709</v>
      </c>
      <c r="I233" s="1">
        <f t="shared" si="72"/>
        <v>1.1955797394432934</v>
      </c>
      <c r="J233" s="1">
        <f t="shared" si="73"/>
        <v>1.8944166666666682</v>
      </c>
      <c r="K233" s="1">
        <f t="shared" si="74"/>
        <v>-0.7461666666666676</v>
      </c>
      <c r="L233" s="1">
        <f t="shared" si="75"/>
        <v>45.68229441834586</v>
      </c>
      <c r="M233" s="1">
        <f t="shared" si="76"/>
        <v>57.28280907180286</v>
      </c>
      <c r="N233" s="1">
        <f>N232</f>
        <v>1</v>
      </c>
      <c r="O233" s="4">
        <f t="shared" si="77"/>
        <v>287.0303210876027</v>
      </c>
      <c r="P233" s="1">
        <f t="shared" si="78"/>
        <v>4.072139094573709</v>
      </c>
      <c r="Q233" s="4">
        <f t="shared" si="79"/>
        <v>0.002136791666807057</v>
      </c>
      <c r="R233" s="4">
        <f t="shared" si="80"/>
        <v>467.9913421294223</v>
      </c>
      <c r="T233" s="1"/>
      <c r="V233" s="1"/>
    </row>
    <row r="234" spans="1:22" ht="12.75">
      <c r="A234">
        <f t="shared" si="68"/>
        <v>7</v>
      </c>
      <c r="B234" s="1">
        <f t="shared" si="69"/>
        <v>47.57671108501253</v>
      </c>
      <c r="C234" s="1">
        <f t="shared" si="69"/>
        <v>56.53664240513619</v>
      </c>
      <c r="D234" s="2" t="s">
        <v>64</v>
      </c>
      <c r="E234" s="1" t="s">
        <v>64</v>
      </c>
      <c r="F234" s="1" t="s">
        <v>64</v>
      </c>
      <c r="G234" t="s">
        <v>64</v>
      </c>
      <c r="H234" s="1" t="s">
        <v>64</v>
      </c>
      <c r="I234" s="1" t="s">
        <v>64</v>
      </c>
      <c r="J234" s="1" t="s">
        <v>64</v>
      </c>
      <c r="K234" s="1" t="s">
        <v>64</v>
      </c>
      <c r="L234" s="1" t="s">
        <v>64</v>
      </c>
      <c r="M234" s="1" t="s">
        <v>64</v>
      </c>
      <c r="N234" s="1" t="s">
        <v>64</v>
      </c>
      <c r="O234" s="4" t="s">
        <v>64</v>
      </c>
      <c r="P234" s="1" t="s">
        <v>64</v>
      </c>
      <c r="Q234" s="4" t="s">
        <v>7</v>
      </c>
      <c r="R234" s="4">
        <f>SUM(R228:R233)</f>
        <v>3662.267042648052</v>
      </c>
      <c r="T234" s="1"/>
      <c r="V234" s="1"/>
    </row>
    <row r="235" spans="2:22" ht="12.75">
      <c r="B235" s="1"/>
      <c r="C235" s="1"/>
      <c r="E235" s="1"/>
      <c r="F235" s="1"/>
      <c r="H235" s="1"/>
      <c r="Q235" s="4" t="s">
        <v>86</v>
      </c>
      <c r="R235">
        <f>1/R234</f>
        <v>0.00027305491062086404</v>
      </c>
      <c r="T235" s="1"/>
      <c r="V235" s="1"/>
    </row>
    <row r="236" spans="1:22" ht="12.75">
      <c r="A236" t="s">
        <v>8</v>
      </c>
      <c r="B236" s="1">
        <v>48</v>
      </c>
      <c r="C236" s="1"/>
      <c r="E236" s="1"/>
      <c r="F236" s="1"/>
      <c r="H236" s="1"/>
      <c r="T236" s="1"/>
      <c r="V236" s="1"/>
    </row>
    <row r="237" spans="1:22" ht="12.75">
      <c r="A237" t="s">
        <v>9</v>
      </c>
      <c r="B237" s="1">
        <f>3.75/360*2*PI()*73</f>
        <v>4.7778388273344765</v>
      </c>
      <c r="C237" s="1" t="s">
        <v>136</v>
      </c>
      <c r="E237" s="1"/>
      <c r="F237" s="1"/>
      <c r="H237" s="1"/>
      <c r="T237" s="1"/>
      <c r="V237" s="1"/>
    </row>
    <row r="238" spans="1:22" ht="12.75">
      <c r="A238" t="s">
        <v>10</v>
      </c>
      <c r="B238" s="1">
        <v>1.5</v>
      </c>
      <c r="C238" s="1" t="s">
        <v>136</v>
      </c>
      <c r="E238" s="1"/>
      <c r="F238" s="1"/>
      <c r="H238" s="1"/>
      <c r="T238" s="1"/>
      <c r="V238" s="1"/>
    </row>
    <row r="239" spans="1:22" ht="12.75">
      <c r="A239" t="s">
        <v>11</v>
      </c>
      <c r="B239" s="1">
        <f>(1.87+2.45+2.14)/3</f>
        <v>2.1533333333333338</v>
      </c>
      <c r="C239" s="1" t="s">
        <v>136</v>
      </c>
      <c r="E239" s="1"/>
      <c r="F239" s="1"/>
      <c r="H239" s="1"/>
      <c r="T239" s="1"/>
      <c r="V239" s="1"/>
    </row>
    <row r="240" spans="1:22" ht="12.75">
      <c r="A240" t="s">
        <v>97</v>
      </c>
      <c r="B240" s="4">
        <f>B238*B239*2.54^2/100^2</f>
        <v>0.0020838668</v>
      </c>
      <c r="C240" s="1" t="s">
        <v>12</v>
      </c>
      <c r="E240" s="1"/>
      <c r="F240" s="1"/>
      <c r="H240" s="1"/>
      <c r="T240" s="1"/>
      <c r="V240" s="1"/>
    </row>
    <row r="241" spans="1:22" ht="12.75">
      <c r="A241" t="s">
        <v>96</v>
      </c>
      <c r="B241" s="4">
        <f>B237*2.54/100</f>
        <v>0.1213571062142957</v>
      </c>
      <c r="C241" s="1" t="s">
        <v>13</v>
      </c>
      <c r="E241" s="1"/>
      <c r="F241" s="1"/>
      <c r="H241" s="1"/>
      <c r="T241" s="1"/>
      <c r="V241" s="1"/>
    </row>
    <row r="242" spans="1:22" ht="12.75">
      <c r="A242" t="s">
        <v>14</v>
      </c>
      <c r="B242" s="1">
        <v>3</v>
      </c>
      <c r="C242" s="1"/>
      <c r="E242" s="1"/>
      <c r="F242" s="1"/>
      <c r="H242" s="1"/>
      <c r="T242" s="1"/>
      <c r="V242" s="1"/>
    </row>
    <row r="243" spans="1:22" ht="12.75">
      <c r="A243" t="s">
        <v>15</v>
      </c>
      <c r="B243" s="4">
        <f>resss*B241/B240</f>
        <v>4.484210400828291E-05</v>
      </c>
      <c r="C243" s="1"/>
      <c r="E243" s="1"/>
      <c r="F243" s="1"/>
      <c r="H243" s="1"/>
      <c r="T243" s="1"/>
      <c r="V243" s="1"/>
    </row>
    <row r="244" spans="1:22" ht="12.75">
      <c r="A244" t="s">
        <v>16</v>
      </c>
      <c r="B244" s="4">
        <f>B243/3</f>
        <v>1.4947368002760971E-05</v>
      </c>
      <c r="C244" s="1"/>
      <c r="E244" s="1"/>
      <c r="F244" s="1"/>
      <c r="H244" s="1"/>
      <c r="T244" s="1"/>
      <c r="V244" s="1"/>
    </row>
    <row r="245" spans="1:22" ht="12.75">
      <c r="A245" t="s">
        <v>17</v>
      </c>
      <c r="B245" s="4">
        <f>B236*B244</f>
        <v>0.0007174736641325266</v>
      </c>
      <c r="C245" s="1"/>
      <c r="E245" s="1"/>
      <c r="F245" s="1"/>
      <c r="H245" s="1"/>
      <c r="K245" s="1" t="s">
        <v>64</v>
      </c>
      <c r="T245" s="1"/>
      <c r="V245" s="1"/>
    </row>
    <row r="246" spans="1:22" ht="12.75">
      <c r="A246" t="s">
        <v>18</v>
      </c>
      <c r="B246" s="1">
        <f>B216</f>
        <v>6</v>
      </c>
      <c r="C246" s="1"/>
      <c r="E246" s="1"/>
      <c r="F246" s="1"/>
      <c r="H246" s="1"/>
      <c r="K246" s="1" t="s">
        <v>64</v>
      </c>
      <c r="T246" s="1"/>
      <c r="V246" s="1"/>
    </row>
    <row r="247" spans="2:22" ht="12.75">
      <c r="B247" s="1" t="s">
        <v>192</v>
      </c>
      <c r="C247" s="1" t="s">
        <v>19</v>
      </c>
      <c r="E247" s="1"/>
      <c r="F247" s="1"/>
      <c r="H247" s="1"/>
      <c r="T247" s="1"/>
      <c r="V247" s="1"/>
    </row>
    <row r="248" spans="1:22" ht="12.75">
      <c r="A248" t="s">
        <v>20</v>
      </c>
      <c r="B248" s="4">
        <f>B246*B245</f>
        <v>0.00430484198479516</v>
      </c>
      <c r="C248" s="4">
        <f>2*B248</f>
        <v>0.00860968396959032</v>
      </c>
      <c r="E248" s="1"/>
      <c r="F248" s="1"/>
      <c r="H248" s="1"/>
      <c r="T248" s="1"/>
      <c r="V248" s="1"/>
    </row>
    <row r="249" spans="2:22" ht="12.75">
      <c r="B249" s="4"/>
      <c r="C249" s="1"/>
      <c r="E249" s="1"/>
      <c r="F249" s="1"/>
      <c r="H249" s="1"/>
      <c r="T249" s="1"/>
      <c r="V249" s="1"/>
    </row>
    <row r="250" spans="1:39" s="1" customFormat="1" ht="12.75">
      <c r="A250"/>
      <c r="B250"/>
      <c r="C250"/>
      <c r="D250"/>
      <c r="E250" t="s">
        <v>21</v>
      </c>
      <c r="F250" t="s">
        <v>22</v>
      </c>
      <c r="G250" t="s">
        <v>158</v>
      </c>
      <c r="H250" s="2" t="s">
        <v>157</v>
      </c>
      <c r="I250" t="s">
        <v>23</v>
      </c>
      <c r="J250" t="s">
        <v>24</v>
      </c>
      <c r="K250" t="s">
        <v>25</v>
      </c>
      <c r="L250" t="s">
        <v>26</v>
      </c>
      <c r="M250" s="1" t="s">
        <v>27</v>
      </c>
      <c r="N250" s="1" t="s">
        <v>28</v>
      </c>
      <c r="O250" s="4" t="s">
        <v>29</v>
      </c>
      <c r="P250" s="4"/>
      <c r="Q250" s="1" t="s">
        <v>30</v>
      </c>
      <c r="R250" s="1" t="s">
        <v>31</v>
      </c>
      <c r="S250" s="1" t="s">
        <v>86</v>
      </c>
      <c r="T250" s="4" t="s">
        <v>32</v>
      </c>
      <c r="U250" s="4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</row>
    <row r="251" spans="1:39" s="1" customFormat="1" ht="12.75">
      <c r="A251" t="s">
        <v>33</v>
      </c>
      <c r="B251" t="s">
        <v>34</v>
      </c>
      <c r="C251"/>
      <c r="D251"/>
      <c r="E251" t="s">
        <v>35</v>
      </c>
      <c r="F251" t="s">
        <v>35</v>
      </c>
      <c r="G251" t="s">
        <v>35</v>
      </c>
      <c r="H251" s="2" t="s">
        <v>35</v>
      </c>
      <c r="I251"/>
      <c r="J251"/>
      <c r="K251" t="s">
        <v>36</v>
      </c>
      <c r="L251"/>
      <c r="O251" s="4" t="s">
        <v>37</v>
      </c>
      <c r="P251" s="4"/>
      <c r="Q251" s="1" t="s">
        <v>38</v>
      </c>
      <c r="R251" s="1" t="s">
        <v>111</v>
      </c>
      <c r="S251" s="1" t="s">
        <v>111</v>
      </c>
      <c r="T251" s="4" t="s">
        <v>6</v>
      </c>
      <c r="U251" s="4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</row>
    <row r="252" spans="1:39" s="1" customFormat="1" ht="12.75">
      <c r="A252">
        <v>1</v>
      </c>
      <c r="B252" t="s">
        <v>64</v>
      </c>
      <c r="C252" t="s">
        <v>39</v>
      </c>
      <c r="D252"/>
      <c r="E252" s="8">
        <v>0.1319</v>
      </c>
      <c r="F252" s="8">
        <v>1.0657</v>
      </c>
      <c r="G252" s="8">
        <v>2.1313</v>
      </c>
      <c r="H252" s="8">
        <v>0.0449</v>
      </c>
      <c r="I252" s="6">
        <v>482</v>
      </c>
      <c r="J252" s="7">
        <v>2</v>
      </c>
      <c r="K252" s="1">
        <v>1.724</v>
      </c>
      <c r="L252" s="1">
        <v>0.712</v>
      </c>
      <c r="M252" s="7">
        <v>0</v>
      </c>
      <c r="N252" s="6">
        <v>0</v>
      </c>
      <c r="O252" s="4">
        <v>0</v>
      </c>
      <c r="P252" s="7">
        <f>A252</f>
        <v>1</v>
      </c>
      <c r="Q252" s="10">
        <f>G252*H252</f>
        <v>0.09569537</v>
      </c>
      <c r="R252" s="4">
        <f>(K252/100*0.000001)*2*PI()*E252/Q252</f>
        <v>1.493038474941145E-07</v>
      </c>
      <c r="S252" s="4">
        <f>O252+R252</f>
        <v>1.493038474941145E-07</v>
      </c>
      <c r="T252" s="4">
        <f>1/S252</f>
        <v>6697751.0411405815</v>
      </c>
      <c r="U252" s="4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39" s="1" customFormat="1" ht="12.75">
      <c r="A253">
        <f>A252+1</f>
        <v>2</v>
      </c>
      <c r="B253" t="s">
        <v>64</v>
      </c>
      <c r="C253" t="s">
        <v>40</v>
      </c>
      <c r="D253"/>
      <c r="E253" s="8">
        <v>0.1803</v>
      </c>
      <c r="F253" s="8">
        <v>1.4483</v>
      </c>
      <c r="G253" s="8">
        <v>0.5388</v>
      </c>
      <c r="H253" s="8">
        <v>0.0416</v>
      </c>
      <c r="I253" s="6">
        <v>48</v>
      </c>
      <c r="J253" s="7">
        <v>2</v>
      </c>
      <c r="K253" s="1">
        <v>1.724</v>
      </c>
      <c r="L253" s="1">
        <v>0.7177</v>
      </c>
      <c r="M253" s="7">
        <v>0</v>
      </c>
      <c r="N253" s="6">
        <v>0</v>
      </c>
      <c r="O253" s="4">
        <v>0</v>
      </c>
      <c r="P253" s="7">
        <f>A253</f>
        <v>2</v>
      </c>
      <c r="Q253" s="10">
        <f>G253*H253</f>
        <v>0.022414079999999996</v>
      </c>
      <c r="R253" s="4">
        <f>(K253/100*0.000001)*2*PI()*E253/Q253</f>
        <v>8.713486022914357E-07</v>
      </c>
      <c r="S253" s="4">
        <f>O253+R253</f>
        <v>8.713486022914357E-07</v>
      </c>
      <c r="T253" s="4">
        <f>1/S253</f>
        <v>1147646.30065423</v>
      </c>
      <c r="U253" s="4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</row>
    <row r="254" spans="1:39" s="1" customFormat="1" ht="12.75">
      <c r="A254">
        <v>3</v>
      </c>
      <c r="B254" t="s">
        <v>64</v>
      </c>
      <c r="C254" t="s">
        <v>41</v>
      </c>
      <c r="D254"/>
      <c r="E254" s="8">
        <v>0.7992</v>
      </c>
      <c r="F254" s="8">
        <v>1.9335</v>
      </c>
      <c r="G254" s="8">
        <v>0.068</v>
      </c>
      <c r="H254" s="8">
        <v>0.1627</v>
      </c>
      <c r="I254" s="6">
        <v>14</v>
      </c>
      <c r="J254" s="7">
        <v>2</v>
      </c>
      <c r="K254" s="1">
        <v>1.724</v>
      </c>
      <c r="L254" s="1">
        <v>0.7363</v>
      </c>
      <c r="M254" s="7">
        <v>0</v>
      </c>
      <c r="N254" s="6">
        <v>0</v>
      </c>
      <c r="O254" s="4">
        <v>0</v>
      </c>
      <c r="P254" s="7">
        <f>A254</f>
        <v>3</v>
      </c>
      <c r="Q254" s="10">
        <f>2*G254*H254</f>
        <v>0.022127200000000003</v>
      </c>
      <c r="R254" s="4">
        <f>(K254/100*0.000001)*2*PI()*E254/Q254</f>
        <v>3.912426066780443E-06</v>
      </c>
      <c r="S254" s="4">
        <f>O254+R254</f>
        <v>3.912426066780443E-06</v>
      </c>
      <c r="T254" s="4">
        <f>1/S254</f>
        <v>255595.8842240578</v>
      </c>
      <c r="U254" s="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</row>
    <row r="255" spans="1:39" s="1" customFormat="1" ht="12.75">
      <c r="A255"/>
      <c r="B255" t="s">
        <v>64</v>
      </c>
      <c r="C255"/>
      <c r="D255"/>
      <c r="E255" s="8">
        <v>0.7992</v>
      </c>
      <c r="F255" s="8">
        <v>1.8526</v>
      </c>
      <c r="G255" s="8">
        <v>0.068</v>
      </c>
      <c r="H255" s="8">
        <v>0.1627</v>
      </c>
      <c r="I255" s="6">
        <v>14</v>
      </c>
      <c r="J255" s="7">
        <v>2</v>
      </c>
      <c r="K255" s="1">
        <v>1.724</v>
      </c>
      <c r="L255" s="1">
        <v>0.7363</v>
      </c>
      <c r="M255" s="7">
        <v>0</v>
      </c>
      <c r="N255" s="6">
        <v>0</v>
      </c>
      <c r="O255" s="4">
        <v>0</v>
      </c>
      <c r="P255" s="7" t="s">
        <v>64</v>
      </c>
      <c r="Q255" s="10" t="s">
        <v>64</v>
      </c>
      <c r="R255" s="4" t="s">
        <v>64</v>
      </c>
      <c r="S255" s="4" t="s">
        <v>64</v>
      </c>
      <c r="T255" s="4" t="s">
        <v>64</v>
      </c>
      <c r="U255" s="4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</row>
    <row r="256" spans="1:39" s="1" customFormat="1" ht="12.75">
      <c r="A256">
        <v>4</v>
      </c>
      <c r="B256" t="s">
        <v>64</v>
      </c>
      <c r="C256" t="s">
        <v>42</v>
      </c>
      <c r="D256"/>
      <c r="E256" s="8">
        <v>1.4945</v>
      </c>
      <c r="F256" s="8">
        <v>1.6335</v>
      </c>
      <c r="G256" s="8">
        <v>0.068</v>
      </c>
      <c r="H256" s="8">
        <v>0.1864</v>
      </c>
      <c r="I256" s="6">
        <v>15</v>
      </c>
      <c r="J256" s="7">
        <v>2</v>
      </c>
      <c r="K256" s="1">
        <v>1.724</v>
      </c>
      <c r="L256" s="1">
        <v>0.6886</v>
      </c>
      <c r="M256" s="7">
        <v>0</v>
      </c>
      <c r="N256" s="6">
        <v>0</v>
      </c>
      <c r="O256" s="4">
        <v>0</v>
      </c>
      <c r="P256" s="7">
        <f>A256</f>
        <v>4</v>
      </c>
      <c r="Q256" s="10">
        <f>2*G256*H256</f>
        <v>0.025350400000000002</v>
      </c>
      <c r="R256" s="4">
        <f>(K256/100*0.000001)*2*PI()*E256/Q256</f>
        <v>6.3859899809406276E-06</v>
      </c>
      <c r="S256" s="4">
        <f>O256+R256</f>
        <v>6.3859899809406276E-06</v>
      </c>
      <c r="T256" s="4">
        <f>1/S256</f>
        <v>156592.79187480098</v>
      </c>
      <c r="U256" s="4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</row>
    <row r="257" spans="1:39" s="1" customFormat="1" ht="12.75">
      <c r="A257"/>
      <c r="B257" t="s">
        <v>64</v>
      </c>
      <c r="C257"/>
      <c r="D257"/>
      <c r="E257" s="8">
        <v>1.4945</v>
      </c>
      <c r="F257" s="8">
        <v>1.5526</v>
      </c>
      <c r="G257" s="8">
        <v>0.068</v>
      </c>
      <c r="H257" s="8">
        <v>0.1864</v>
      </c>
      <c r="I257" s="6">
        <v>15</v>
      </c>
      <c r="J257" s="7">
        <v>2</v>
      </c>
      <c r="K257" s="1">
        <v>1.724</v>
      </c>
      <c r="L257" s="1">
        <v>0.6886</v>
      </c>
      <c r="M257" s="7">
        <v>0</v>
      </c>
      <c r="N257" s="6">
        <v>0</v>
      </c>
      <c r="O257" s="4">
        <v>0</v>
      </c>
      <c r="P257" s="7" t="s">
        <v>64</v>
      </c>
      <c r="Q257" s="10" t="s">
        <v>64</v>
      </c>
      <c r="R257" s="4" t="s">
        <v>64</v>
      </c>
      <c r="S257" s="4" t="s">
        <v>64</v>
      </c>
      <c r="T257" s="4" t="s">
        <v>64</v>
      </c>
      <c r="U257" s="4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</row>
    <row r="258" spans="1:39" s="1" customFormat="1" ht="12.75">
      <c r="A258">
        <v>5</v>
      </c>
      <c r="B258" t="s">
        <v>64</v>
      </c>
      <c r="C258" t="s">
        <v>43</v>
      </c>
      <c r="D258"/>
      <c r="E258" s="8">
        <v>1.7946</v>
      </c>
      <c r="F258" s="8">
        <v>0.8072</v>
      </c>
      <c r="G258" s="8">
        <v>0.068</v>
      </c>
      <c r="H258" s="8">
        <v>0.0915</v>
      </c>
      <c r="I258" s="6">
        <v>8</v>
      </c>
      <c r="J258" s="7">
        <v>2</v>
      </c>
      <c r="K258" s="1">
        <v>1.724</v>
      </c>
      <c r="L258" s="1">
        <v>0.7479</v>
      </c>
      <c r="M258" s="7">
        <v>0</v>
      </c>
      <c r="N258" s="6">
        <v>0</v>
      </c>
      <c r="O258" s="4">
        <v>0</v>
      </c>
      <c r="P258" s="7">
        <f>A258</f>
        <v>5</v>
      </c>
      <c r="Q258" s="10">
        <f>G258*H258+G259*H259</f>
        <v>0.014062400000000001</v>
      </c>
      <c r="R258" s="4">
        <f>(K258/100*0.000001)*2*PI()*E258/Q258</f>
        <v>1.3823733291119559E-05</v>
      </c>
      <c r="S258" s="4">
        <f>O258+R258</f>
        <v>1.3823733291119559E-05</v>
      </c>
      <c r="T258" s="4">
        <f>1/S258</f>
        <v>72339.35861902121</v>
      </c>
      <c r="U258" s="4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</row>
    <row r="259" spans="1:39" s="1" customFormat="1" ht="12.75">
      <c r="A259"/>
      <c r="B259" t="s">
        <v>64</v>
      </c>
      <c r="C259"/>
      <c r="D259"/>
      <c r="E259" s="8">
        <v>1.8065</v>
      </c>
      <c r="F259" s="8">
        <v>0.8881</v>
      </c>
      <c r="G259" s="8">
        <v>0.068</v>
      </c>
      <c r="H259" s="8">
        <v>0.1153</v>
      </c>
      <c r="I259" s="6">
        <v>9</v>
      </c>
      <c r="J259" s="7">
        <v>2</v>
      </c>
      <c r="K259" s="1">
        <v>1.724</v>
      </c>
      <c r="L259" s="1">
        <v>0.6682</v>
      </c>
      <c r="M259" s="7">
        <v>0</v>
      </c>
      <c r="N259" s="6">
        <v>0</v>
      </c>
      <c r="O259" s="4">
        <v>0</v>
      </c>
      <c r="P259" s="7" t="s">
        <v>64</v>
      </c>
      <c r="Q259" s="10" t="s">
        <v>64</v>
      </c>
      <c r="R259" s="4" t="s">
        <v>64</v>
      </c>
      <c r="S259" s="4" t="s">
        <v>64</v>
      </c>
      <c r="T259" s="4" t="s">
        <v>64</v>
      </c>
      <c r="U259" s="4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</row>
    <row r="260" spans="1:39" s="1" customFormat="1" ht="12.75">
      <c r="A260">
        <v>6</v>
      </c>
      <c r="B260" t="s">
        <v>64</v>
      </c>
      <c r="C260" t="s">
        <v>44</v>
      </c>
      <c r="D260"/>
      <c r="E260" s="8">
        <v>1.9946</v>
      </c>
      <c r="F260" s="8">
        <v>0.6575</v>
      </c>
      <c r="G260" s="8">
        <v>0.0685</v>
      </c>
      <c r="H260" s="8">
        <v>0.1359</v>
      </c>
      <c r="I260" s="6">
        <v>12</v>
      </c>
      <c r="J260" s="7">
        <v>2</v>
      </c>
      <c r="K260" s="1">
        <v>1.724</v>
      </c>
      <c r="L260" s="1">
        <v>0.7689</v>
      </c>
      <c r="M260" s="7">
        <v>0</v>
      </c>
      <c r="N260" s="6">
        <v>0</v>
      </c>
      <c r="O260" s="4">
        <v>0</v>
      </c>
      <c r="P260" s="7">
        <v>6</v>
      </c>
      <c r="Q260" s="10">
        <f>G260*H260+G261*H261</f>
        <v>0.0186183</v>
      </c>
      <c r="R260" s="4">
        <f>(K260/100*0.000001)*2*PI()*E260/Q260</f>
        <v>1.160467335751357E-05</v>
      </c>
      <c r="S260" s="4">
        <f>O260+R260</f>
        <v>1.160467335751357E-05</v>
      </c>
      <c r="T260" s="4">
        <f>1/S260</f>
        <v>86172.17987893983</v>
      </c>
      <c r="U260" s="4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</row>
    <row r="261" spans="1:39" s="1" customFormat="1" ht="12.75">
      <c r="A261"/>
      <c r="B261" t="s">
        <v>64</v>
      </c>
      <c r="C261"/>
      <c r="D261"/>
      <c r="E261" s="8">
        <v>1.9946</v>
      </c>
      <c r="F261" s="8">
        <v>0.5828</v>
      </c>
      <c r="G261" s="8">
        <v>0.0685</v>
      </c>
      <c r="H261" s="8">
        <v>0.1359</v>
      </c>
      <c r="I261" s="6">
        <v>12</v>
      </c>
      <c r="J261" s="7">
        <v>2</v>
      </c>
      <c r="K261" s="1">
        <v>1.724</v>
      </c>
      <c r="L261" s="1">
        <v>0.7689</v>
      </c>
      <c r="M261" s="7">
        <v>0</v>
      </c>
      <c r="N261" s="6">
        <v>0</v>
      </c>
      <c r="O261" s="4">
        <v>0</v>
      </c>
      <c r="P261" s="7"/>
      <c r="Q261" s="10" t="s">
        <v>64</v>
      </c>
      <c r="R261" s="4" t="s">
        <v>64</v>
      </c>
      <c r="S261" s="4" t="s">
        <v>64</v>
      </c>
      <c r="T261" s="4" t="s">
        <v>64</v>
      </c>
      <c r="U261" s="4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</row>
    <row r="262" spans="1:39" s="1" customFormat="1" ht="12.75">
      <c r="A262">
        <v>7</v>
      </c>
      <c r="B262" t="s">
        <v>64</v>
      </c>
      <c r="C262" t="s">
        <v>45</v>
      </c>
      <c r="D262"/>
      <c r="E262" s="8">
        <v>0.8</v>
      </c>
      <c r="F262" s="8">
        <v>0.6</v>
      </c>
      <c r="G262" s="8">
        <v>0.001</v>
      </c>
      <c r="H262" s="8">
        <v>0.001</v>
      </c>
      <c r="I262" s="6">
        <v>1</v>
      </c>
      <c r="J262" s="7">
        <v>1</v>
      </c>
      <c r="K262" s="6">
        <v>1</v>
      </c>
      <c r="L262" s="1">
        <v>0.9999</v>
      </c>
      <c r="M262" s="7">
        <v>0</v>
      </c>
      <c r="N262" s="6">
        <v>0</v>
      </c>
      <c r="O262" s="4">
        <v>0</v>
      </c>
      <c r="P262" s="7">
        <f aca="true" t="shared" si="81" ref="P262:P293">A262</f>
        <v>7</v>
      </c>
      <c r="Q262" s="10">
        <f aca="true" t="shared" si="82" ref="Q262:Q293">G262*H262</f>
        <v>1E-06</v>
      </c>
      <c r="R262" s="4">
        <f aca="true" t="shared" si="83" ref="R262:R293">(K262/100*0.000001)*2*PI()*E262/Q262</f>
        <v>0.05026548245743669</v>
      </c>
      <c r="S262" s="4">
        <f aca="true" t="shared" si="84" ref="S262:S293">O262+R262</f>
        <v>0.05026548245743669</v>
      </c>
      <c r="T262" s="4">
        <f aca="true" t="shared" si="85" ref="T262:T293">1/S262</f>
        <v>19.894367886486915</v>
      </c>
      <c r="U262" s="4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</row>
    <row r="263" spans="1:39" s="1" customFormat="1" ht="12.75">
      <c r="A263">
        <v>8</v>
      </c>
      <c r="B263">
        <v>1</v>
      </c>
      <c r="C263" t="s">
        <v>46</v>
      </c>
      <c r="D263" t="s">
        <v>64</v>
      </c>
      <c r="E263" s="8">
        <f aca="true" t="shared" si="86" ref="E263:E286">M30*2.54/100</f>
        <v>1.6970375000000002</v>
      </c>
      <c r="F263" s="8">
        <f aca="true" t="shared" si="87" ref="F263:F286">N30*2.54/100</f>
        <v>0.061118750000000006</v>
      </c>
      <c r="G263" s="8">
        <f aca="true" t="shared" si="88" ref="G263:G286">SQRT(Q30)*2.54/100</f>
        <v>0.044051337238499355</v>
      </c>
      <c r="H263" s="8">
        <f aca="true" t="shared" si="89" ref="H263:H294">G263</f>
        <v>0.044051337238499355</v>
      </c>
      <c r="I263" s="6">
        <v>1</v>
      </c>
      <c r="J263" s="7">
        <v>2</v>
      </c>
      <c r="K263" s="6">
        <f aca="true" t="shared" si="90" ref="K263:K286">resss*100000000</f>
        <v>77</v>
      </c>
      <c r="L263" s="6">
        <v>1</v>
      </c>
      <c r="M263" s="7">
        <v>0</v>
      </c>
      <c r="N263" s="6">
        <v>0</v>
      </c>
      <c r="O263" s="4">
        <v>0</v>
      </c>
      <c r="P263" s="7">
        <f t="shared" si="81"/>
        <v>8</v>
      </c>
      <c r="Q263" s="10">
        <f t="shared" si="82"/>
        <v>0.0019405203124999999</v>
      </c>
      <c r="R263" s="4">
        <f t="shared" si="83"/>
        <v>0.004231007932834632</v>
      </c>
      <c r="S263" s="4">
        <f t="shared" si="84"/>
        <v>0.004231007932834632</v>
      </c>
      <c r="T263" s="4">
        <f t="shared" si="85"/>
        <v>236.35030136425056</v>
      </c>
      <c r="U263" s="4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</row>
    <row r="264" spans="1:39" s="1" customFormat="1" ht="12.75">
      <c r="A264">
        <f aca="true" t="shared" si="91" ref="A264:A295">A263+1</f>
        <v>9</v>
      </c>
      <c r="B264"/>
      <c r="C264" t="s">
        <v>46</v>
      </c>
      <c r="D264">
        <f aca="true" t="shared" si="92" ref="D264:D286">H31</f>
        <v>2</v>
      </c>
      <c r="E264" s="8">
        <f t="shared" si="86"/>
        <v>1.6970375000000002</v>
      </c>
      <c r="F264" s="8">
        <f t="shared" si="87"/>
        <v>0.18335625</v>
      </c>
      <c r="G264" s="8">
        <f t="shared" si="88"/>
        <v>0.044051337238499355</v>
      </c>
      <c r="H264" s="8">
        <f t="shared" si="89"/>
        <v>0.044051337238499355</v>
      </c>
      <c r="I264" s="6">
        <v>1</v>
      </c>
      <c r="J264" s="7">
        <v>2</v>
      </c>
      <c r="K264" s="6">
        <f t="shared" si="90"/>
        <v>77</v>
      </c>
      <c r="L264" s="6">
        <v>1</v>
      </c>
      <c r="M264" s="7">
        <v>0</v>
      </c>
      <c r="N264" s="6">
        <v>0</v>
      </c>
      <c r="O264" s="4">
        <v>0</v>
      </c>
      <c r="P264" s="7">
        <f t="shared" si="81"/>
        <v>9</v>
      </c>
      <c r="Q264" s="10">
        <f t="shared" si="82"/>
        <v>0.0019405203124999999</v>
      </c>
      <c r="R264" s="4">
        <f t="shared" si="83"/>
        <v>0.004231007932834632</v>
      </c>
      <c r="S264" s="4">
        <f t="shared" si="84"/>
        <v>0.004231007932834632</v>
      </c>
      <c r="T264" s="4">
        <f t="shared" si="85"/>
        <v>236.35030136425056</v>
      </c>
      <c r="U264" s="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</row>
    <row r="265" spans="1:39" s="1" customFormat="1" ht="12.75">
      <c r="A265">
        <f t="shared" si="91"/>
        <v>10</v>
      </c>
      <c r="B265"/>
      <c r="C265" t="s">
        <v>46</v>
      </c>
      <c r="D265">
        <f t="shared" si="92"/>
        <v>3</v>
      </c>
      <c r="E265" s="8">
        <f t="shared" si="86"/>
        <v>1.6970375000000002</v>
      </c>
      <c r="F265" s="8">
        <f t="shared" si="87"/>
        <v>0.30559375</v>
      </c>
      <c r="G265" s="8">
        <f t="shared" si="88"/>
        <v>0.044051337238499355</v>
      </c>
      <c r="H265" s="8">
        <f t="shared" si="89"/>
        <v>0.044051337238499355</v>
      </c>
      <c r="I265" s="6">
        <v>1</v>
      </c>
      <c r="J265" s="7">
        <v>2</v>
      </c>
      <c r="K265" s="6">
        <f t="shared" si="90"/>
        <v>77</v>
      </c>
      <c r="L265" s="6">
        <v>1</v>
      </c>
      <c r="M265" s="7">
        <v>0</v>
      </c>
      <c r="N265" s="6">
        <v>0</v>
      </c>
      <c r="O265" s="4">
        <v>0</v>
      </c>
      <c r="P265" s="7">
        <f t="shared" si="81"/>
        <v>10</v>
      </c>
      <c r="Q265" s="10">
        <f t="shared" si="82"/>
        <v>0.0019405203124999999</v>
      </c>
      <c r="R265" s="4">
        <f t="shared" si="83"/>
        <v>0.004231007932834632</v>
      </c>
      <c r="S265" s="4">
        <f t="shared" si="84"/>
        <v>0.004231007932834632</v>
      </c>
      <c r="T265" s="4">
        <f t="shared" si="85"/>
        <v>236.35030136425056</v>
      </c>
      <c r="U265" s="4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</row>
    <row r="266" spans="1:39" s="1" customFormat="1" ht="12.75">
      <c r="A266">
        <f t="shared" si="91"/>
        <v>11</v>
      </c>
      <c r="B266"/>
      <c r="C266" t="s">
        <v>46</v>
      </c>
      <c r="D266">
        <f t="shared" si="92"/>
        <v>4</v>
      </c>
      <c r="E266" s="8">
        <f t="shared" si="86"/>
        <v>1.6970375000000002</v>
      </c>
      <c r="F266" s="8">
        <f t="shared" si="87"/>
        <v>0.42783125</v>
      </c>
      <c r="G266" s="8">
        <f t="shared" si="88"/>
        <v>0.044051337238499355</v>
      </c>
      <c r="H266" s="8">
        <f t="shared" si="89"/>
        <v>0.044051337238499355</v>
      </c>
      <c r="I266" s="6">
        <v>1</v>
      </c>
      <c r="J266" s="7">
        <v>2</v>
      </c>
      <c r="K266" s="6">
        <f t="shared" si="90"/>
        <v>77</v>
      </c>
      <c r="L266" s="6">
        <v>1</v>
      </c>
      <c r="M266" s="7">
        <v>0</v>
      </c>
      <c r="N266" s="6">
        <v>0</v>
      </c>
      <c r="O266" s="4">
        <v>0</v>
      </c>
      <c r="P266" s="7">
        <f t="shared" si="81"/>
        <v>11</v>
      </c>
      <c r="Q266" s="10">
        <f t="shared" si="82"/>
        <v>0.0019405203124999999</v>
      </c>
      <c r="R266" s="4">
        <f t="shared" si="83"/>
        <v>0.004231007932834632</v>
      </c>
      <c r="S266" s="4">
        <f t="shared" si="84"/>
        <v>0.004231007932834632</v>
      </c>
      <c r="T266" s="4">
        <f t="shared" si="85"/>
        <v>236.35030136425056</v>
      </c>
      <c r="U266" s="4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</row>
    <row r="267" spans="1:39" s="1" customFormat="1" ht="12.75">
      <c r="A267">
        <f t="shared" si="91"/>
        <v>12</v>
      </c>
      <c r="B267"/>
      <c r="C267" t="s">
        <v>46</v>
      </c>
      <c r="D267">
        <f t="shared" si="92"/>
        <v>5</v>
      </c>
      <c r="E267" s="8">
        <f t="shared" si="86"/>
        <v>1.6970375000000002</v>
      </c>
      <c r="F267" s="8">
        <f t="shared" si="87"/>
        <v>0.55006875</v>
      </c>
      <c r="G267" s="8">
        <f t="shared" si="88"/>
        <v>0.044051337238499355</v>
      </c>
      <c r="H267" s="8">
        <f t="shared" si="89"/>
        <v>0.044051337238499355</v>
      </c>
      <c r="I267" s="6">
        <v>1</v>
      </c>
      <c r="J267" s="7">
        <v>2</v>
      </c>
      <c r="K267" s="6">
        <f t="shared" si="90"/>
        <v>77</v>
      </c>
      <c r="L267" s="6">
        <v>1</v>
      </c>
      <c r="M267" s="7">
        <v>0</v>
      </c>
      <c r="N267" s="6">
        <v>0</v>
      </c>
      <c r="O267" s="4">
        <v>0</v>
      </c>
      <c r="P267" s="7">
        <f t="shared" si="81"/>
        <v>12</v>
      </c>
      <c r="Q267" s="10">
        <f t="shared" si="82"/>
        <v>0.0019405203124999999</v>
      </c>
      <c r="R267" s="4">
        <f t="shared" si="83"/>
        <v>0.004231007932834632</v>
      </c>
      <c r="S267" s="4">
        <f t="shared" si="84"/>
        <v>0.004231007932834632</v>
      </c>
      <c r="T267" s="4">
        <f t="shared" si="85"/>
        <v>236.35030136425056</v>
      </c>
      <c r="U267" s="4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</row>
    <row r="268" spans="1:39" s="1" customFormat="1" ht="12.75">
      <c r="A268">
        <f t="shared" si="91"/>
        <v>13</v>
      </c>
      <c r="B268"/>
      <c r="C268" t="s">
        <v>46</v>
      </c>
      <c r="D268">
        <f t="shared" si="92"/>
        <v>6</v>
      </c>
      <c r="E268" s="8">
        <f t="shared" si="86"/>
        <v>1.6970375000000002</v>
      </c>
      <c r="F268" s="8">
        <f t="shared" si="87"/>
        <v>0.67230625</v>
      </c>
      <c r="G268" s="8">
        <f t="shared" si="88"/>
        <v>0.044051337238499355</v>
      </c>
      <c r="H268" s="8">
        <f t="shared" si="89"/>
        <v>0.044051337238499355</v>
      </c>
      <c r="I268" s="6">
        <v>1</v>
      </c>
      <c r="J268" s="7">
        <v>2</v>
      </c>
      <c r="K268" s="6">
        <f t="shared" si="90"/>
        <v>77</v>
      </c>
      <c r="L268" s="6">
        <v>1</v>
      </c>
      <c r="M268" s="7">
        <v>0</v>
      </c>
      <c r="N268" s="6">
        <v>0</v>
      </c>
      <c r="O268" s="4">
        <v>0</v>
      </c>
      <c r="P268" s="7">
        <f t="shared" si="81"/>
        <v>13</v>
      </c>
      <c r="Q268" s="10">
        <f t="shared" si="82"/>
        <v>0.0019405203124999999</v>
      </c>
      <c r="R268" s="4">
        <f t="shared" si="83"/>
        <v>0.004231007932834632</v>
      </c>
      <c r="S268" s="4">
        <f t="shared" si="84"/>
        <v>0.004231007932834632</v>
      </c>
      <c r="T268" s="4">
        <f t="shared" si="85"/>
        <v>236.35030136425056</v>
      </c>
      <c r="U268" s="4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</row>
    <row r="269" spans="1:39" s="1" customFormat="1" ht="12.75">
      <c r="A269">
        <f t="shared" si="91"/>
        <v>14</v>
      </c>
      <c r="B269"/>
      <c r="C269" t="s">
        <v>46</v>
      </c>
      <c r="D269">
        <f t="shared" si="92"/>
        <v>7</v>
      </c>
      <c r="E269" s="8">
        <f t="shared" si="86"/>
        <v>1.6970375000000002</v>
      </c>
      <c r="F269" s="8">
        <f t="shared" si="87"/>
        <v>0.79454375</v>
      </c>
      <c r="G269" s="8">
        <f t="shared" si="88"/>
        <v>0.044051337238499355</v>
      </c>
      <c r="H269" s="8">
        <f t="shared" si="89"/>
        <v>0.044051337238499355</v>
      </c>
      <c r="I269" s="6">
        <v>1</v>
      </c>
      <c r="J269" s="7">
        <v>2</v>
      </c>
      <c r="K269" s="6">
        <f t="shared" si="90"/>
        <v>77</v>
      </c>
      <c r="L269" s="6">
        <v>1</v>
      </c>
      <c r="M269" s="7">
        <v>0</v>
      </c>
      <c r="N269" s="6">
        <v>0</v>
      </c>
      <c r="O269" s="4">
        <v>0</v>
      </c>
      <c r="P269" s="7">
        <f t="shared" si="81"/>
        <v>14</v>
      </c>
      <c r="Q269" s="10">
        <f t="shared" si="82"/>
        <v>0.0019405203124999999</v>
      </c>
      <c r="R269" s="4">
        <f t="shared" si="83"/>
        <v>0.004231007932834632</v>
      </c>
      <c r="S269" s="4">
        <f t="shared" si="84"/>
        <v>0.004231007932834632</v>
      </c>
      <c r="T269" s="4">
        <f t="shared" si="85"/>
        <v>236.35030136425056</v>
      </c>
      <c r="U269" s="4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</row>
    <row r="270" spans="1:39" s="1" customFormat="1" ht="12.75">
      <c r="A270">
        <f t="shared" si="91"/>
        <v>15</v>
      </c>
      <c r="B270"/>
      <c r="C270" t="s">
        <v>46</v>
      </c>
      <c r="D270">
        <f t="shared" si="92"/>
        <v>8</v>
      </c>
      <c r="E270" s="8">
        <f t="shared" si="86"/>
        <v>1.6970375000000002</v>
      </c>
      <c r="F270" s="8">
        <f t="shared" si="87"/>
        <v>0.91678125</v>
      </c>
      <c r="G270" s="8">
        <f t="shared" si="88"/>
        <v>0.044051337238499355</v>
      </c>
      <c r="H270" s="8">
        <f t="shared" si="89"/>
        <v>0.044051337238499355</v>
      </c>
      <c r="I270" s="6">
        <v>1</v>
      </c>
      <c r="J270" s="7">
        <v>2</v>
      </c>
      <c r="K270" s="6">
        <f t="shared" si="90"/>
        <v>77</v>
      </c>
      <c r="L270" s="6">
        <v>1</v>
      </c>
      <c r="M270" s="7">
        <v>0</v>
      </c>
      <c r="N270" s="6">
        <v>0</v>
      </c>
      <c r="O270" s="4">
        <v>0</v>
      </c>
      <c r="P270" s="7">
        <f t="shared" si="81"/>
        <v>15</v>
      </c>
      <c r="Q270" s="10">
        <f t="shared" si="82"/>
        <v>0.0019405203124999999</v>
      </c>
      <c r="R270" s="4">
        <f t="shared" si="83"/>
        <v>0.004231007932834632</v>
      </c>
      <c r="S270" s="4">
        <f t="shared" si="84"/>
        <v>0.004231007932834632</v>
      </c>
      <c r="T270" s="4">
        <f t="shared" si="85"/>
        <v>236.35030136425056</v>
      </c>
      <c r="U270" s="4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</row>
    <row r="271" spans="1:20" ht="12.75">
      <c r="A271">
        <f t="shared" si="91"/>
        <v>16</v>
      </c>
      <c r="C271" t="s">
        <v>46</v>
      </c>
      <c r="D271">
        <f t="shared" si="92"/>
        <v>9</v>
      </c>
      <c r="E271" s="8">
        <f t="shared" si="86"/>
        <v>1.6885345367188356</v>
      </c>
      <c r="F271" s="8">
        <f t="shared" si="87"/>
        <v>1.032844022689147</v>
      </c>
      <c r="G271" s="8">
        <f t="shared" si="88"/>
        <v>0.04201474623595471</v>
      </c>
      <c r="H271" s="8">
        <f t="shared" si="89"/>
        <v>0.04201474623595471</v>
      </c>
      <c r="I271" s="6">
        <v>1</v>
      </c>
      <c r="J271" s="7">
        <v>2</v>
      </c>
      <c r="K271" s="6">
        <f t="shared" si="90"/>
        <v>77</v>
      </c>
      <c r="L271" s="6">
        <v>1</v>
      </c>
      <c r="M271" s="7">
        <v>0</v>
      </c>
      <c r="N271" s="6">
        <v>0</v>
      </c>
      <c r="O271" s="4">
        <v>0</v>
      </c>
      <c r="P271" s="7">
        <f t="shared" si="81"/>
        <v>16</v>
      </c>
      <c r="Q271" s="10">
        <f t="shared" si="82"/>
        <v>0.0017652389012716707</v>
      </c>
      <c r="R271" s="4">
        <f t="shared" si="83"/>
        <v>0.004627826321855517</v>
      </c>
      <c r="S271" s="4">
        <f t="shared" si="84"/>
        <v>0.004627826321855517</v>
      </c>
      <c r="T271" s="4">
        <f t="shared" si="85"/>
        <v>216.08416791212946</v>
      </c>
    </row>
    <row r="272" spans="1:20" ht="12.75">
      <c r="A272">
        <f t="shared" si="91"/>
        <v>17</v>
      </c>
      <c r="C272" t="s">
        <v>46</v>
      </c>
      <c r="D272">
        <f t="shared" si="92"/>
        <v>10</v>
      </c>
      <c r="E272" s="8">
        <f t="shared" si="86"/>
        <v>1.655318204106486</v>
      </c>
      <c r="F272" s="8">
        <f t="shared" si="87"/>
        <v>1.137591613424437</v>
      </c>
      <c r="G272" s="8">
        <f t="shared" si="88"/>
        <v>0.04201474623595471</v>
      </c>
      <c r="H272" s="8">
        <f t="shared" si="89"/>
        <v>0.04201474623595471</v>
      </c>
      <c r="I272" s="6">
        <v>1</v>
      </c>
      <c r="J272" s="7">
        <v>2</v>
      </c>
      <c r="K272" s="6">
        <f t="shared" si="90"/>
        <v>77</v>
      </c>
      <c r="L272" s="6">
        <v>1</v>
      </c>
      <c r="M272" s="7">
        <v>0</v>
      </c>
      <c r="N272" s="6">
        <v>0</v>
      </c>
      <c r="O272" s="4">
        <v>0</v>
      </c>
      <c r="P272" s="7">
        <f t="shared" si="81"/>
        <v>17</v>
      </c>
      <c r="Q272" s="10">
        <f t="shared" si="82"/>
        <v>0.0017652389012716707</v>
      </c>
      <c r="R272" s="4">
        <f t="shared" si="83"/>
        <v>0.004536789144328993</v>
      </c>
      <c r="S272" s="4">
        <f t="shared" si="84"/>
        <v>0.004536789144328993</v>
      </c>
      <c r="T272" s="4">
        <f t="shared" si="85"/>
        <v>220.42020649119314</v>
      </c>
    </row>
    <row r="273" spans="1:20" ht="12.75">
      <c r="A273">
        <f t="shared" si="91"/>
        <v>18</v>
      </c>
      <c r="C273" t="s">
        <v>46</v>
      </c>
      <c r="D273">
        <f t="shared" si="92"/>
        <v>11</v>
      </c>
      <c r="E273" s="8">
        <f t="shared" si="86"/>
        <v>1.591993193597328</v>
      </c>
      <c r="F273" s="8">
        <f t="shared" si="87"/>
        <v>1.2273987710516387</v>
      </c>
      <c r="G273" s="8">
        <f t="shared" si="88"/>
        <v>0.0420147462359547</v>
      </c>
      <c r="H273" s="8">
        <f t="shared" si="89"/>
        <v>0.0420147462359547</v>
      </c>
      <c r="I273" s="6">
        <v>1</v>
      </c>
      <c r="J273" s="7">
        <v>2</v>
      </c>
      <c r="K273" s="6">
        <f t="shared" si="90"/>
        <v>77</v>
      </c>
      <c r="L273" s="6">
        <v>1</v>
      </c>
      <c r="M273" s="7">
        <v>0</v>
      </c>
      <c r="N273" s="6">
        <v>0</v>
      </c>
      <c r="O273" s="4">
        <v>0</v>
      </c>
      <c r="P273" s="7">
        <f t="shared" si="81"/>
        <v>18</v>
      </c>
      <c r="Q273" s="10">
        <f t="shared" si="82"/>
        <v>0.0017652389012716696</v>
      </c>
      <c r="R273" s="4">
        <f t="shared" si="83"/>
        <v>0.0043632320484608056</v>
      </c>
      <c r="S273" s="4">
        <f t="shared" si="84"/>
        <v>0.0043632320484608056</v>
      </c>
      <c r="T273" s="4">
        <f t="shared" si="85"/>
        <v>229.18790220033443</v>
      </c>
    </row>
    <row r="274" spans="1:20" ht="12.75">
      <c r="A274">
        <f t="shared" si="91"/>
        <v>19</v>
      </c>
      <c r="C274" t="s">
        <v>46</v>
      </c>
      <c r="D274">
        <f t="shared" si="92"/>
        <v>12</v>
      </c>
      <c r="E274" s="8">
        <f t="shared" si="86"/>
        <v>1.5013371363914816</v>
      </c>
      <c r="F274" s="8">
        <f t="shared" si="87"/>
        <v>1.3049183788456171</v>
      </c>
      <c r="G274" s="8">
        <f t="shared" si="88"/>
        <v>0.0451328364454798</v>
      </c>
      <c r="H274" s="8">
        <f t="shared" si="89"/>
        <v>0.0451328364454798</v>
      </c>
      <c r="I274" s="6">
        <v>1</v>
      </c>
      <c r="J274" s="7">
        <v>2</v>
      </c>
      <c r="K274" s="6">
        <f t="shared" si="90"/>
        <v>77</v>
      </c>
      <c r="L274" s="6">
        <v>1</v>
      </c>
      <c r="M274" s="7">
        <v>0</v>
      </c>
      <c r="N274" s="6">
        <v>0</v>
      </c>
      <c r="O274" s="4">
        <v>0</v>
      </c>
      <c r="P274" s="7">
        <f t="shared" si="81"/>
        <v>19</v>
      </c>
      <c r="Q274" s="10">
        <f t="shared" si="82"/>
        <v>0.00203697292561443</v>
      </c>
      <c r="R274" s="4">
        <f t="shared" si="83"/>
        <v>0.00356585405469369</v>
      </c>
      <c r="S274" s="4">
        <f t="shared" si="84"/>
        <v>0.00356585405469369</v>
      </c>
      <c r="T274" s="4">
        <f t="shared" si="85"/>
        <v>280.43772534204317</v>
      </c>
    </row>
    <row r="275" spans="1:20" ht="12.75">
      <c r="A275">
        <f t="shared" si="91"/>
        <v>20</v>
      </c>
      <c r="C275" t="s">
        <v>46</v>
      </c>
      <c r="D275">
        <f t="shared" si="92"/>
        <v>13</v>
      </c>
      <c r="E275" s="8">
        <f t="shared" si="86"/>
        <v>1.395439498167381</v>
      </c>
      <c r="F275" s="8">
        <f t="shared" si="87"/>
        <v>1.3773042023536368</v>
      </c>
      <c r="G275" s="8">
        <f t="shared" si="88"/>
        <v>0.04513283644547982</v>
      </c>
      <c r="H275" s="8">
        <f t="shared" si="89"/>
        <v>0.04513283644547982</v>
      </c>
      <c r="I275" s="6">
        <v>1</v>
      </c>
      <c r="J275" s="7">
        <v>2</v>
      </c>
      <c r="K275" s="6">
        <f t="shared" si="90"/>
        <v>77</v>
      </c>
      <c r="L275" s="6">
        <v>1</v>
      </c>
      <c r="M275" s="7">
        <v>0</v>
      </c>
      <c r="N275" s="6">
        <v>0</v>
      </c>
      <c r="O275" s="4">
        <v>0</v>
      </c>
      <c r="P275" s="7">
        <f t="shared" si="81"/>
        <v>20</v>
      </c>
      <c r="Q275" s="10">
        <f t="shared" si="82"/>
        <v>0.0020369729256144316</v>
      </c>
      <c r="R275" s="4">
        <f t="shared" si="83"/>
        <v>0.0033143345834898328</v>
      </c>
      <c r="S275" s="4">
        <f t="shared" si="84"/>
        <v>0.0033143345834898328</v>
      </c>
      <c r="T275" s="4">
        <f t="shared" si="85"/>
        <v>301.7196890686422</v>
      </c>
    </row>
    <row r="276" spans="1:20" ht="12.75">
      <c r="A276">
        <f t="shared" si="91"/>
        <v>21</v>
      </c>
      <c r="C276" t="s">
        <v>46</v>
      </c>
      <c r="D276">
        <f t="shared" si="92"/>
        <v>14</v>
      </c>
      <c r="E276" s="8">
        <f t="shared" si="86"/>
        <v>1.2860586718524478</v>
      </c>
      <c r="F276" s="8">
        <f t="shared" si="87"/>
        <v>1.4443105607164017</v>
      </c>
      <c r="G276" s="8">
        <f t="shared" si="88"/>
        <v>0.04513283644547996</v>
      </c>
      <c r="H276" s="8">
        <f t="shared" si="89"/>
        <v>0.04513283644547996</v>
      </c>
      <c r="I276" s="6">
        <v>1</v>
      </c>
      <c r="J276" s="7">
        <v>2</v>
      </c>
      <c r="K276" s="6">
        <f t="shared" si="90"/>
        <v>77</v>
      </c>
      <c r="L276" s="6">
        <v>1</v>
      </c>
      <c r="M276" s="7">
        <v>0</v>
      </c>
      <c r="N276" s="6">
        <v>0</v>
      </c>
      <c r="O276" s="4">
        <v>0</v>
      </c>
      <c r="P276" s="7">
        <f t="shared" si="81"/>
        <v>21</v>
      </c>
      <c r="Q276" s="10">
        <f t="shared" si="82"/>
        <v>0.002036972925614444</v>
      </c>
      <c r="R276" s="4">
        <f t="shared" si="83"/>
        <v>0.0030545421267746515</v>
      </c>
      <c r="S276" s="4">
        <f t="shared" si="84"/>
        <v>0.0030545421267746515</v>
      </c>
      <c r="T276" s="4">
        <f t="shared" si="85"/>
        <v>327.3813090461184</v>
      </c>
    </row>
    <row r="277" spans="1:20" ht="12.75">
      <c r="A277">
        <f t="shared" si="91"/>
        <v>22</v>
      </c>
      <c r="C277" t="s">
        <v>46</v>
      </c>
      <c r="D277">
        <f t="shared" si="92"/>
        <v>15</v>
      </c>
      <c r="E277" s="8">
        <f t="shared" si="86"/>
        <v>1.1734676854010198</v>
      </c>
      <c r="F277" s="8">
        <f t="shared" si="87"/>
        <v>1.505770197847376</v>
      </c>
      <c r="G277" s="8">
        <f t="shared" si="88"/>
        <v>0.0451328364454798</v>
      </c>
      <c r="H277" s="8">
        <f t="shared" si="89"/>
        <v>0.0451328364454798</v>
      </c>
      <c r="I277" s="6">
        <v>1</v>
      </c>
      <c r="J277" s="7">
        <v>2</v>
      </c>
      <c r="K277" s="6">
        <f t="shared" si="90"/>
        <v>77</v>
      </c>
      <c r="L277" s="6">
        <v>1</v>
      </c>
      <c r="M277" s="7">
        <v>0</v>
      </c>
      <c r="N277" s="6">
        <v>0</v>
      </c>
      <c r="O277" s="4">
        <v>0</v>
      </c>
      <c r="P277" s="7">
        <f t="shared" si="81"/>
        <v>22</v>
      </c>
      <c r="Q277" s="10">
        <f t="shared" si="82"/>
        <v>0.00203697292561443</v>
      </c>
      <c r="R277" s="4">
        <f t="shared" si="83"/>
        <v>0.0027871251583749127</v>
      </c>
      <c r="S277" s="4">
        <f t="shared" si="84"/>
        <v>0.0027871251583749127</v>
      </c>
      <c r="T277" s="4">
        <f t="shared" si="85"/>
        <v>358.7926423021022</v>
      </c>
    </row>
    <row r="278" spans="1:20" ht="12.75">
      <c r="A278">
        <f t="shared" si="91"/>
        <v>23</v>
      </c>
      <c r="B278" t="s">
        <v>64</v>
      </c>
      <c r="C278" t="s">
        <v>46</v>
      </c>
      <c r="D278">
        <f t="shared" si="92"/>
        <v>16</v>
      </c>
      <c r="E278" s="8">
        <f t="shared" si="86"/>
        <v>1.0579475797207514</v>
      </c>
      <c r="F278" s="8">
        <f t="shared" si="87"/>
        <v>1.5615297029563382</v>
      </c>
      <c r="G278" s="8">
        <f t="shared" si="88"/>
        <v>0.04513283644547992</v>
      </c>
      <c r="H278" s="8">
        <f t="shared" si="89"/>
        <v>0.04513283644547992</v>
      </c>
      <c r="I278" s="6">
        <v>1</v>
      </c>
      <c r="J278" s="7">
        <v>2</v>
      </c>
      <c r="K278" s="6">
        <f t="shared" si="90"/>
        <v>77</v>
      </c>
      <c r="L278" s="6">
        <v>1</v>
      </c>
      <c r="M278" s="7">
        <v>0</v>
      </c>
      <c r="N278" s="6">
        <v>0</v>
      </c>
      <c r="O278" s="4">
        <v>0</v>
      </c>
      <c r="P278" s="7">
        <f t="shared" si="81"/>
        <v>23</v>
      </c>
      <c r="Q278" s="10">
        <f t="shared" si="82"/>
        <v>0.0020369729256144403</v>
      </c>
      <c r="R278" s="4">
        <f t="shared" si="83"/>
        <v>0.002512751183833304</v>
      </c>
      <c r="S278" s="4">
        <f t="shared" si="84"/>
        <v>0.002512751183833304</v>
      </c>
      <c r="T278" s="4">
        <f t="shared" si="85"/>
        <v>397.9701637129305</v>
      </c>
    </row>
    <row r="279" spans="1:20" ht="12.75">
      <c r="A279">
        <f t="shared" si="91"/>
        <v>24</v>
      </c>
      <c r="C279" t="s">
        <v>46</v>
      </c>
      <c r="D279">
        <f t="shared" si="92"/>
        <v>17</v>
      </c>
      <c r="E279" s="8">
        <f t="shared" si="86"/>
        <v>0.9397867071600499</v>
      </c>
      <c r="F279" s="8">
        <f t="shared" si="87"/>
        <v>1.6114498934815205</v>
      </c>
      <c r="G279" s="8">
        <f t="shared" si="88"/>
        <v>0.045132836445479885</v>
      </c>
      <c r="H279" s="8">
        <f t="shared" si="89"/>
        <v>0.045132836445479885</v>
      </c>
      <c r="I279" s="6">
        <v>1</v>
      </c>
      <c r="J279" s="7">
        <v>2</v>
      </c>
      <c r="K279" s="6">
        <f t="shared" si="90"/>
        <v>77</v>
      </c>
      <c r="L279" s="6">
        <v>1</v>
      </c>
      <c r="M279" s="7">
        <v>0</v>
      </c>
      <c r="N279" s="6">
        <v>0</v>
      </c>
      <c r="O279" s="4">
        <v>0</v>
      </c>
      <c r="P279" s="7">
        <f t="shared" si="81"/>
        <v>24</v>
      </c>
      <c r="Q279" s="10">
        <f t="shared" si="82"/>
        <v>0.0020369729256144373</v>
      </c>
      <c r="R279" s="4">
        <f t="shared" si="83"/>
        <v>0.0022321050742330107</v>
      </c>
      <c r="S279" s="4">
        <f t="shared" si="84"/>
        <v>0.0022321050742330107</v>
      </c>
      <c r="T279" s="4">
        <f t="shared" si="85"/>
        <v>448.00758330949856</v>
      </c>
    </row>
    <row r="280" spans="1:20" ht="12.75">
      <c r="A280">
        <f t="shared" si="91"/>
        <v>25</v>
      </c>
      <c r="C280" t="s">
        <v>46</v>
      </c>
      <c r="D280">
        <f t="shared" si="92"/>
        <v>18</v>
      </c>
      <c r="E280" s="8">
        <f t="shared" si="86"/>
        <v>0.8192800117452574</v>
      </c>
      <c r="F280" s="8">
        <f t="shared" si="87"/>
        <v>1.6554061625063503</v>
      </c>
      <c r="G280" s="8">
        <f t="shared" si="88"/>
        <v>0.04513283644547986</v>
      </c>
      <c r="H280" s="8">
        <f t="shared" si="89"/>
        <v>0.04513283644547986</v>
      </c>
      <c r="I280" s="6">
        <v>1</v>
      </c>
      <c r="J280" s="7">
        <v>2</v>
      </c>
      <c r="K280" s="6">
        <f t="shared" si="90"/>
        <v>77</v>
      </c>
      <c r="L280" s="6">
        <v>1</v>
      </c>
      <c r="M280" s="7">
        <v>0</v>
      </c>
      <c r="N280" s="6">
        <v>0</v>
      </c>
      <c r="O280" s="4">
        <v>0</v>
      </c>
      <c r="P280" s="7">
        <f t="shared" si="81"/>
        <v>25</v>
      </c>
      <c r="Q280" s="10">
        <f t="shared" si="82"/>
        <v>0.0020369729256144347</v>
      </c>
      <c r="R280" s="4">
        <f t="shared" si="83"/>
        <v>0.0019458873566753194</v>
      </c>
      <c r="S280" s="4">
        <f t="shared" si="84"/>
        <v>0.0019458873566753194</v>
      </c>
      <c r="T280" s="4">
        <f t="shared" si="85"/>
        <v>513.9043617142196</v>
      </c>
    </row>
    <row r="281" spans="1:20" ht="12.75">
      <c r="A281">
        <f t="shared" si="91"/>
        <v>26</v>
      </c>
      <c r="C281" t="s">
        <v>46</v>
      </c>
      <c r="D281">
        <f t="shared" si="92"/>
        <v>19</v>
      </c>
      <c r="E281" s="8">
        <f t="shared" si="86"/>
        <v>0.6967282929641955</v>
      </c>
      <c r="F281" s="8">
        <f t="shared" si="87"/>
        <v>1.6932887897935944</v>
      </c>
      <c r="G281" s="8">
        <f t="shared" si="88"/>
        <v>0.04513283644547982</v>
      </c>
      <c r="H281" s="8">
        <f t="shared" si="89"/>
        <v>0.04513283644547982</v>
      </c>
      <c r="I281" s="6">
        <v>1</v>
      </c>
      <c r="J281" s="7">
        <v>2</v>
      </c>
      <c r="K281" s="6">
        <f t="shared" si="90"/>
        <v>77</v>
      </c>
      <c r="L281" s="6">
        <v>1</v>
      </c>
      <c r="M281" s="7">
        <v>0</v>
      </c>
      <c r="N281" s="6">
        <v>0</v>
      </c>
      <c r="O281" s="4">
        <v>0</v>
      </c>
      <c r="P281" s="7">
        <f t="shared" si="81"/>
        <v>26</v>
      </c>
      <c r="Q281" s="10">
        <f t="shared" si="82"/>
        <v>0.0020369729256144316</v>
      </c>
      <c r="R281" s="4">
        <f t="shared" si="83"/>
        <v>0.001654812465678168</v>
      </c>
      <c r="S281" s="4">
        <f t="shared" si="84"/>
        <v>0.001654812465678168</v>
      </c>
      <c r="T281" s="4">
        <f t="shared" si="85"/>
        <v>604.2980825565538</v>
      </c>
    </row>
    <row r="282" spans="1:20" ht="12.75">
      <c r="A282">
        <f t="shared" si="91"/>
        <v>27</v>
      </c>
      <c r="C282" t="s">
        <v>46</v>
      </c>
      <c r="D282">
        <f t="shared" si="92"/>
        <v>20</v>
      </c>
      <c r="E282" s="8">
        <f t="shared" si="86"/>
        <v>0.5724374549337601</v>
      </c>
      <c r="F282" s="8">
        <f t="shared" si="87"/>
        <v>1.7250032156605226</v>
      </c>
      <c r="G282" s="8">
        <f t="shared" si="88"/>
        <v>0.04513283644548</v>
      </c>
      <c r="H282" s="8">
        <f t="shared" si="89"/>
        <v>0.04513283644548</v>
      </c>
      <c r="I282" s="6">
        <v>1</v>
      </c>
      <c r="J282" s="7">
        <v>2</v>
      </c>
      <c r="K282" s="6">
        <f t="shared" si="90"/>
        <v>77</v>
      </c>
      <c r="L282" s="6">
        <v>1</v>
      </c>
      <c r="M282" s="7">
        <v>0</v>
      </c>
      <c r="N282" s="6">
        <v>0</v>
      </c>
      <c r="O282" s="4">
        <v>0</v>
      </c>
      <c r="P282" s="7">
        <f t="shared" si="81"/>
        <v>27</v>
      </c>
      <c r="Q282" s="10">
        <f t="shared" si="82"/>
        <v>0.002036972925614448</v>
      </c>
      <c r="R282" s="4">
        <f t="shared" si="83"/>
        <v>0.001359606959859951</v>
      </c>
      <c r="S282" s="4">
        <f t="shared" si="84"/>
        <v>0.001359606959859951</v>
      </c>
      <c r="T282" s="4">
        <f t="shared" si="85"/>
        <v>735.5066791530745</v>
      </c>
    </row>
    <row r="283" spans="1:20" ht="12.75">
      <c r="A283">
        <f t="shared" si="91"/>
        <v>28</v>
      </c>
      <c r="C283" t="s">
        <v>46</v>
      </c>
      <c r="D283">
        <f t="shared" si="92"/>
        <v>21</v>
      </c>
      <c r="E283" s="8">
        <f t="shared" si="86"/>
        <v>0.44671774282573823</v>
      </c>
      <c r="F283" s="8">
        <f t="shared" si="87"/>
        <v>1.75047027701147</v>
      </c>
      <c r="G283" s="8">
        <f t="shared" si="88"/>
        <v>0.04513283644547979</v>
      </c>
      <c r="H283" s="8">
        <f t="shared" si="89"/>
        <v>0.04513283644547979</v>
      </c>
      <c r="I283" s="6">
        <v>1</v>
      </c>
      <c r="J283" s="7">
        <v>2</v>
      </c>
      <c r="K283" s="6">
        <f t="shared" si="90"/>
        <v>77</v>
      </c>
      <c r="L283" s="6">
        <v>1</v>
      </c>
      <c r="M283" s="7">
        <v>0</v>
      </c>
      <c r="N283" s="6">
        <v>0</v>
      </c>
      <c r="O283" s="4">
        <v>0</v>
      </c>
      <c r="P283" s="7">
        <f t="shared" si="81"/>
        <v>28</v>
      </c>
      <c r="Q283" s="10">
        <f t="shared" si="82"/>
        <v>0.0020369729256144286</v>
      </c>
      <c r="R283" s="4">
        <f t="shared" si="83"/>
        <v>0.0010610077083601879</v>
      </c>
      <c r="S283" s="4">
        <f t="shared" si="84"/>
        <v>0.0010610077083601879</v>
      </c>
      <c r="T283" s="4">
        <f t="shared" si="85"/>
        <v>942.5002213655199</v>
      </c>
    </row>
    <row r="284" spans="1:20" ht="12.75">
      <c r="A284">
        <f t="shared" si="91"/>
        <v>29</v>
      </c>
      <c r="C284" t="s">
        <v>46</v>
      </c>
      <c r="D284">
        <f t="shared" si="92"/>
        <v>22</v>
      </c>
      <c r="E284" s="8">
        <f t="shared" si="86"/>
        <v>0.3198829684568178</v>
      </c>
      <c r="F284" s="8">
        <f t="shared" si="87"/>
        <v>1.7696264049386312</v>
      </c>
      <c r="G284" s="8">
        <f t="shared" si="88"/>
        <v>0.0451328364454799</v>
      </c>
      <c r="H284" s="8">
        <f t="shared" si="89"/>
        <v>0.0451328364454799</v>
      </c>
      <c r="I284" s="6">
        <v>1</v>
      </c>
      <c r="J284" s="7">
        <v>2</v>
      </c>
      <c r="K284" s="6">
        <f t="shared" si="90"/>
        <v>77</v>
      </c>
      <c r="L284" s="6">
        <v>1</v>
      </c>
      <c r="M284" s="7">
        <v>0</v>
      </c>
      <c r="N284" s="6">
        <v>0</v>
      </c>
      <c r="O284" s="4">
        <v>0</v>
      </c>
      <c r="P284" s="7">
        <f t="shared" si="81"/>
        <v>29</v>
      </c>
      <c r="Q284" s="10">
        <f t="shared" si="82"/>
        <v>0.0020369729256144386</v>
      </c>
      <c r="R284" s="4">
        <f t="shared" si="83"/>
        <v>0.000759760051523671</v>
      </c>
      <c r="S284" s="4">
        <f t="shared" si="84"/>
        <v>0.000759760051523671</v>
      </c>
      <c r="T284" s="4">
        <f t="shared" si="85"/>
        <v>1316.2050281461056</v>
      </c>
    </row>
    <row r="285" spans="1:20" ht="12.75">
      <c r="A285">
        <f t="shared" si="91"/>
        <v>30</v>
      </c>
      <c r="C285" t="s">
        <v>46</v>
      </c>
      <c r="D285">
        <f t="shared" si="92"/>
        <v>23</v>
      </c>
      <c r="E285" s="8">
        <f t="shared" si="86"/>
        <v>0.19224972697581363</v>
      </c>
      <c r="F285" s="8">
        <f t="shared" si="87"/>
        <v>1.7824237833978507</v>
      </c>
      <c r="G285" s="8">
        <f t="shared" si="88"/>
        <v>0.045132836445479885</v>
      </c>
      <c r="H285" s="8">
        <f t="shared" si="89"/>
        <v>0.045132836445479885</v>
      </c>
      <c r="I285" s="6">
        <v>1</v>
      </c>
      <c r="J285" s="7">
        <v>2</v>
      </c>
      <c r="K285" s="6">
        <f t="shared" si="90"/>
        <v>77</v>
      </c>
      <c r="L285" s="6">
        <v>1</v>
      </c>
      <c r="M285" s="7">
        <v>0</v>
      </c>
      <c r="N285" s="6">
        <v>0</v>
      </c>
      <c r="O285" s="4">
        <v>0</v>
      </c>
      <c r="P285" s="7">
        <f t="shared" si="81"/>
        <v>30</v>
      </c>
      <c r="Q285" s="10">
        <f t="shared" si="82"/>
        <v>0.0020369729256144373</v>
      </c>
      <c r="R285" s="4">
        <f t="shared" si="83"/>
        <v>0.00045661594043971</v>
      </c>
      <c r="S285" s="4">
        <f t="shared" si="84"/>
        <v>0.00045661594043971</v>
      </c>
      <c r="T285" s="4">
        <f t="shared" si="85"/>
        <v>2190.024288326475</v>
      </c>
    </row>
    <row r="286" spans="1:20" ht="12.75">
      <c r="A286">
        <f t="shared" si="91"/>
        <v>31</v>
      </c>
      <c r="B286" t="s">
        <v>64</v>
      </c>
      <c r="C286" t="s">
        <v>46</v>
      </c>
      <c r="D286">
        <f t="shared" si="92"/>
        <v>24</v>
      </c>
      <c r="E286" s="8">
        <f t="shared" si="86"/>
        <v>0.0641366066033582</v>
      </c>
      <c r="F286" s="8">
        <f t="shared" si="87"/>
        <v>1.788830468563328</v>
      </c>
      <c r="G286" s="8">
        <f t="shared" si="88"/>
        <v>0.0451328364454799</v>
      </c>
      <c r="H286" s="8">
        <f t="shared" si="89"/>
        <v>0.0451328364454799</v>
      </c>
      <c r="I286" s="6">
        <v>1</v>
      </c>
      <c r="J286" s="7">
        <v>2</v>
      </c>
      <c r="K286" s="6">
        <f t="shared" si="90"/>
        <v>77</v>
      </c>
      <c r="L286" s="6">
        <v>1</v>
      </c>
      <c r="M286" s="7">
        <v>0</v>
      </c>
      <c r="N286" s="6">
        <v>0</v>
      </c>
      <c r="O286" s="4">
        <v>0</v>
      </c>
      <c r="P286" s="7">
        <f t="shared" si="81"/>
        <v>31</v>
      </c>
      <c r="Q286" s="10">
        <f t="shared" si="82"/>
        <v>0.0020369729256144386</v>
      </c>
      <c r="R286" s="4">
        <f t="shared" si="83"/>
        <v>0.00015233205997992628</v>
      </c>
      <c r="S286" s="4">
        <f t="shared" si="84"/>
        <v>0.00015233205997992628</v>
      </c>
      <c r="T286" s="4">
        <f t="shared" si="85"/>
        <v>6564.606295823585</v>
      </c>
    </row>
    <row r="287" spans="1:20" ht="12.75">
      <c r="A287">
        <f t="shared" si="91"/>
        <v>32</v>
      </c>
      <c r="B287">
        <v>2</v>
      </c>
      <c r="C287" t="s">
        <v>47</v>
      </c>
      <c r="D287">
        <f aca="true" t="shared" si="93" ref="D287:D298">G120</f>
        <v>1</v>
      </c>
      <c r="E287" s="8">
        <f aca="true" t="shared" si="94" ref="E287:E298">L120*2.54/100</f>
        <v>1.0928654639282291</v>
      </c>
      <c r="F287" s="8">
        <f aca="true" t="shared" si="95" ref="F287:F298">M120*2.54/100</f>
        <v>1.414869691127729</v>
      </c>
      <c r="G287" s="8">
        <f aca="true" t="shared" si="96" ref="G287:G298">SQRT(P120)*2.54/100</f>
        <v>0.03226702049606277</v>
      </c>
      <c r="H287" s="8">
        <f t="shared" si="89"/>
        <v>0.03226702049606277</v>
      </c>
      <c r="I287" s="6">
        <v>1</v>
      </c>
      <c r="J287" s="7">
        <v>2</v>
      </c>
      <c r="K287" s="1">
        <f aca="true" t="shared" si="97" ref="K287:K298">rescopper*100000000</f>
        <v>1.724</v>
      </c>
      <c r="L287" s="6">
        <v>1</v>
      </c>
      <c r="M287" s="7">
        <v>0</v>
      </c>
      <c r="N287" s="6">
        <v>0</v>
      </c>
      <c r="O287" s="4">
        <f aca="true" t="shared" si="98" ref="O287:O292">secres</f>
        <v>0.057600000000000005</v>
      </c>
      <c r="P287" s="7">
        <f t="shared" si="81"/>
        <v>32</v>
      </c>
      <c r="Q287" s="10">
        <f t="shared" si="82"/>
        <v>0.0010411606116933348</v>
      </c>
      <c r="R287" s="4">
        <f t="shared" si="83"/>
        <v>0.00011370147583488725</v>
      </c>
      <c r="S287" s="4">
        <f t="shared" si="84"/>
        <v>0.05771370147583489</v>
      </c>
      <c r="T287" s="4">
        <f t="shared" si="85"/>
        <v>17.326908072577993</v>
      </c>
    </row>
    <row r="288" spans="1:20" ht="12.75">
      <c r="A288">
        <f t="shared" si="91"/>
        <v>33</v>
      </c>
      <c r="C288" t="s">
        <v>47</v>
      </c>
      <c r="D288">
        <f t="shared" si="93"/>
        <v>2</v>
      </c>
      <c r="E288" s="8">
        <f t="shared" si="94"/>
        <v>1.140180407558502</v>
      </c>
      <c r="F288" s="8">
        <f t="shared" si="95"/>
        <v>1.3479204181593067</v>
      </c>
      <c r="G288" s="8">
        <f t="shared" si="96"/>
        <v>0.03226702049606277</v>
      </c>
      <c r="H288" s="8">
        <f t="shared" si="89"/>
        <v>0.03226702049606277</v>
      </c>
      <c r="I288" s="6">
        <v>1</v>
      </c>
      <c r="J288" s="7">
        <v>2</v>
      </c>
      <c r="K288" s="1">
        <f t="shared" si="97"/>
        <v>1.724</v>
      </c>
      <c r="L288" s="6">
        <v>1</v>
      </c>
      <c r="M288" s="7">
        <v>0</v>
      </c>
      <c r="N288" s="6">
        <v>0</v>
      </c>
      <c r="O288" s="4">
        <f t="shared" si="98"/>
        <v>0.057600000000000005</v>
      </c>
      <c r="P288" s="7">
        <f t="shared" si="81"/>
        <v>33</v>
      </c>
      <c r="Q288" s="10">
        <f t="shared" si="82"/>
        <v>0.0010411606116933348</v>
      </c>
      <c r="R288" s="4">
        <f t="shared" si="83"/>
        <v>0.00011862411187507218</v>
      </c>
      <c r="S288" s="4">
        <f t="shared" si="84"/>
        <v>0.057718624111875075</v>
      </c>
      <c r="T288" s="4">
        <f t="shared" si="85"/>
        <v>17.325430316247946</v>
      </c>
    </row>
    <row r="289" spans="1:20" ht="12.75">
      <c r="A289">
        <f t="shared" si="91"/>
        <v>34</v>
      </c>
      <c r="B289" t="s">
        <v>64</v>
      </c>
      <c r="C289" t="s">
        <v>47</v>
      </c>
      <c r="D289">
        <f t="shared" si="93"/>
        <v>3</v>
      </c>
      <c r="E289" s="8">
        <f t="shared" si="94"/>
        <v>1.1874953511887751</v>
      </c>
      <c r="F289" s="8">
        <f t="shared" si="95"/>
        <v>1.2809711451908843</v>
      </c>
      <c r="G289" s="8">
        <f t="shared" si="96"/>
        <v>0.03226702049606277</v>
      </c>
      <c r="H289" s="8">
        <f t="shared" si="89"/>
        <v>0.03226702049606277</v>
      </c>
      <c r="I289" s="6">
        <v>1</v>
      </c>
      <c r="J289" s="7">
        <v>2</v>
      </c>
      <c r="K289" s="1">
        <f t="shared" si="97"/>
        <v>1.724</v>
      </c>
      <c r="L289" s="6">
        <v>1</v>
      </c>
      <c r="M289" s="7">
        <v>0</v>
      </c>
      <c r="N289" s="6">
        <v>0</v>
      </c>
      <c r="O289" s="4">
        <f t="shared" si="98"/>
        <v>0.057600000000000005</v>
      </c>
      <c r="P289" s="7">
        <f t="shared" si="81"/>
        <v>34</v>
      </c>
      <c r="Q289" s="10">
        <f t="shared" si="82"/>
        <v>0.0010411606116933348</v>
      </c>
      <c r="R289" s="4">
        <f t="shared" si="83"/>
        <v>0.00012354674791525714</v>
      </c>
      <c r="S289" s="4">
        <f t="shared" si="84"/>
        <v>0.057723546747915265</v>
      </c>
      <c r="T289" s="4">
        <f t="shared" si="85"/>
        <v>17.323952811962577</v>
      </c>
    </row>
    <row r="290" spans="1:20" ht="12.75">
      <c r="A290">
        <f t="shared" si="91"/>
        <v>35</v>
      </c>
      <c r="C290" t="s">
        <v>47</v>
      </c>
      <c r="D290">
        <f t="shared" si="93"/>
        <v>4</v>
      </c>
      <c r="E290" s="8">
        <f t="shared" si="94"/>
        <v>1.234810294819048</v>
      </c>
      <c r="F290" s="8">
        <f t="shared" si="95"/>
        <v>1.2140218722224618</v>
      </c>
      <c r="G290" s="8">
        <f t="shared" si="96"/>
        <v>0.03226702049606277</v>
      </c>
      <c r="H290" s="8">
        <f t="shared" si="89"/>
        <v>0.03226702049606277</v>
      </c>
      <c r="I290" s="6">
        <v>1</v>
      </c>
      <c r="J290" s="7">
        <v>2</v>
      </c>
      <c r="K290" s="1">
        <f t="shared" si="97"/>
        <v>1.724</v>
      </c>
      <c r="L290" s="6">
        <v>1</v>
      </c>
      <c r="M290" s="7">
        <v>0</v>
      </c>
      <c r="N290" s="6">
        <v>0</v>
      </c>
      <c r="O290" s="4">
        <f t="shared" si="98"/>
        <v>0.057600000000000005</v>
      </c>
      <c r="P290" s="7">
        <f t="shared" si="81"/>
        <v>35</v>
      </c>
      <c r="Q290" s="10">
        <f t="shared" si="82"/>
        <v>0.0010411606116933348</v>
      </c>
      <c r="R290" s="4">
        <f t="shared" si="83"/>
        <v>0.00012846938395544207</v>
      </c>
      <c r="S290" s="4">
        <f t="shared" si="84"/>
        <v>0.05772846938395545</v>
      </c>
      <c r="T290" s="4">
        <f t="shared" si="85"/>
        <v>17.322475559657423</v>
      </c>
    </row>
    <row r="291" spans="1:20" ht="12.75">
      <c r="A291">
        <f t="shared" si="91"/>
        <v>36</v>
      </c>
      <c r="C291" t="s">
        <v>47</v>
      </c>
      <c r="D291">
        <f t="shared" si="93"/>
        <v>5</v>
      </c>
      <c r="E291" s="8">
        <f t="shared" si="94"/>
        <v>1.2821252384493211</v>
      </c>
      <c r="F291" s="8">
        <f t="shared" si="95"/>
        <v>1.1470725992540394</v>
      </c>
      <c r="G291" s="8">
        <f t="shared" si="96"/>
        <v>0.03226702049606277</v>
      </c>
      <c r="H291" s="8">
        <f t="shared" si="89"/>
        <v>0.03226702049606277</v>
      </c>
      <c r="I291" s="6">
        <v>1</v>
      </c>
      <c r="J291" s="7">
        <v>2</v>
      </c>
      <c r="K291" s="1">
        <f t="shared" si="97"/>
        <v>1.724</v>
      </c>
      <c r="L291" s="6">
        <v>1</v>
      </c>
      <c r="M291" s="7">
        <v>0</v>
      </c>
      <c r="N291" s="6">
        <v>0</v>
      </c>
      <c r="O291" s="4">
        <f t="shared" si="98"/>
        <v>0.057600000000000005</v>
      </c>
      <c r="P291" s="7">
        <f t="shared" si="81"/>
        <v>36</v>
      </c>
      <c r="Q291" s="10">
        <f t="shared" si="82"/>
        <v>0.0010411606116933348</v>
      </c>
      <c r="R291" s="4">
        <f t="shared" si="83"/>
        <v>0.00013339201999562703</v>
      </c>
      <c r="S291" s="4">
        <f t="shared" si="84"/>
        <v>0.05773339201999563</v>
      </c>
      <c r="T291" s="4">
        <f t="shared" si="85"/>
        <v>17.320998559268016</v>
      </c>
    </row>
    <row r="292" spans="1:20" ht="12.75">
      <c r="A292">
        <f t="shared" si="91"/>
        <v>37</v>
      </c>
      <c r="C292" t="s">
        <v>47</v>
      </c>
      <c r="D292">
        <f t="shared" si="93"/>
        <v>6</v>
      </c>
      <c r="E292" s="8">
        <f t="shared" si="94"/>
        <v>1.329440182079594</v>
      </c>
      <c r="F292" s="8">
        <f t="shared" si="95"/>
        <v>1.0801233262856171</v>
      </c>
      <c r="G292" s="8">
        <f t="shared" si="96"/>
        <v>0.03226702049606277</v>
      </c>
      <c r="H292" s="8">
        <f t="shared" si="89"/>
        <v>0.03226702049606277</v>
      </c>
      <c r="I292" s="6">
        <v>1</v>
      </c>
      <c r="J292" s="7">
        <v>2</v>
      </c>
      <c r="K292" s="1">
        <f t="shared" si="97"/>
        <v>1.724</v>
      </c>
      <c r="L292" s="6">
        <v>1</v>
      </c>
      <c r="M292" s="7">
        <v>0</v>
      </c>
      <c r="N292" s="6">
        <v>0</v>
      </c>
      <c r="O292" s="4">
        <f t="shared" si="98"/>
        <v>0.057600000000000005</v>
      </c>
      <c r="P292" s="7">
        <f t="shared" si="81"/>
        <v>37</v>
      </c>
      <c r="Q292" s="10">
        <f t="shared" si="82"/>
        <v>0.0010411606116933348</v>
      </c>
      <c r="R292" s="4">
        <f t="shared" si="83"/>
        <v>0.00013831465603581197</v>
      </c>
      <c r="S292" s="4">
        <f t="shared" si="84"/>
        <v>0.057738314656035815</v>
      </c>
      <c r="T292" s="4">
        <f t="shared" si="85"/>
        <v>17.31952181072993</v>
      </c>
    </row>
    <row r="293" spans="1:20" ht="12.75">
      <c r="A293">
        <f t="shared" si="91"/>
        <v>38</v>
      </c>
      <c r="B293">
        <v>3</v>
      </c>
      <c r="C293" t="s">
        <v>48</v>
      </c>
      <c r="D293">
        <f t="shared" si="93"/>
        <v>7</v>
      </c>
      <c r="E293" s="8">
        <f t="shared" si="94"/>
        <v>1.3666095210020754</v>
      </c>
      <c r="F293" s="8">
        <f t="shared" si="95"/>
        <v>1.005673883813356</v>
      </c>
      <c r="G293" s="8">
        <f t="shared" si="96"/>
        <v>0.03310418697980952</v>
      </c>
      <c r="H293" s="8">
        <f t="shared" si="89"/>
        <v>0.03310418697980952</v>
      </c>
      <c r="I293" s="6">
        <v>1</v>
      </c>
      <c r="J293" s="7">
        <v>2</v>
      </c>
      <c r="K293" s="1">
        <f t="shared" si="97"/>
        <v>1.724</v>
      </c>
      <c r="L293" s="6">
        <v>1</v>
      </c>
      <c r="M293" s="7">
        <v>0</v>
      </c>
      <c r="N293" s="6">
        <v>0</v>
      </c>
      <c r="O293" s="4">
        <f aca="true" t="shared" si="99" ref="O293:O298">prires</f>
        <v>0.0432</v>
      </c>
      <c r="P293" s="7">
        <f t="shared" si="81"/>
        <v>38</v>
      </c>
      <c r="Q293" s="10">
        <f t="shared" si="82"/>
        <v>0.0010958871955941902</v>
      </c>
      <c r="R293" s="4">
        <f t="shared" si="83"/>
        <v>0.00013508145169819445</v>
      </c>
      <c r="S293" s="4">
        <f t="shared" si="84"/>
        <v>0.0433350814516982</v>
      </c>
      <c r="T293" s="4">
        <f t="shared" si="85"/>
        <v>23.07599216386871</v>
      </c>
    </row>
    <row r="294" spans="1:20" ht="12.75">
      <c r="A294">
        <f t="shared" si="91"/>
        <v>39</v>
      </c>
      <c r="C294" t="s">
        <v>48</v>
      </c>
      <c r="D294">
        <f t="shared" si="93"/>
        <v>8</v>
      </c>
      <c r="E294" s="8">
        <f t="shared" si="94"/>
        <v>1.3936332552167654</v>
      </c>
      <c r="F294" s="8">
        <f t="shared" si="95"/>
        <v>0.9237242718372565</v>
      </c>
      <c r="G294" s="8">
        <f t="shared" si="96"/>
        <v>0.03310418697980952</v>
      </c>
      <c r="H294" s="8">
        <f t="shared" si="89"/>
        <v>0.03310418697980952</v>
      </c>
      <c r="I294" s="6">
        <v>1</v>
      </c>
      <c r="J294" s="7">
        <v>2</v>
      </c>
      <c r="K294" s="1">
        <f t="shared" si="97"/>
        <v>1.724</v>
      </c>
      <c r="L294" s="6">
        <v>1</v>
      </c>
      <c r="M294" s="7">
        <v>0</v>
      </c>
      <c r="N294" s="6">
        <v>0</v>
      </c>
      <c r="O294" s="4">
        <f t="shared" si="99"/>
        <v>0.0432</v>
      </c>
      <c r="P294" s="7">
        <f aca="true" t="shared" si="100" ref="P294:P322">A294</f>
        <v>39</v>
      </c>
      <c r="Q294" s="10">
        <f aca="true" t="shared" si="101" ref="Q294:Q328">G294*H294</f>
        <v>0.0010958871955941902</v>
      </c>
      <c r="R294" s="4">
        <f aca="true" t="shared" si="102" ref="R294:R325">(K294/100*0.000001)*2*PI()*E294/Q294</f>
        <v>0.00013775259161923775</v>
      </c>
      <c r="S294" s="4">
        <f aca="true" t="shared" si="103" ref="S294:S325">O294+R294</f>
        <v>0.04333775259161924</v>
      </c>
      <c r="T294" s="4">
        <f aca="true" t="shared" si="104" ref="T294:T325">1/S294</f>
        <v>23.074569865752164</v>
      </c>
    </row>
    <row r="295" spans="1:20" ht="12.75">
      <c r="A295">
        <f t="shared" si="91"/>
        <v>40</v>
      </c>
      <c r="B295" t="s">
        <v>64</v>
      </c>
      <c r="C295" t="s">
        <v>48</v>
      </c>
      <c r="D295">
        <f t="shared" si="93"/>
        <v>9</v>
      </c>
      <c r="E295" s="8">
        <f t="shared" si="94"/>
        <v>1.4206569894314551</v>
      </c>
      <c r="F295" s="8">
        <f t="shared" si="95"/>
        <v>0.8417746598611571</v>
      </c>
      <c r="G295" s="8">
        <f t="shared" si="96"/>
        <v>0.03310418697980952</v>
      </c>
      <c r="H295" s="8">
        <f aca="true" t="shared" si="105" ref="H295:H326">G295</f>
        <v>0.03310418697980952</v>
      </c>
      <c r="I295" s="6">
        <v>1</v>
      </c>
      <c r="J295" s="7">
        <v>2</v>
      </c>
      <c r="K295" s="1">
        <f t="shared" si="97"/>
        <v>1.724</v>
      </c>
      <c r="L295" s="6">
        <v>1</v>
      </c>
      <c r="M295" s="7">
        <v>0</v>
      </c>
      <c r="N295" s="6">
        <v>0</v>
      </c>
      <c r="O295" s="4">
        <f t="shared" si="99"/>
        <v>0.0432</v>
      </c>
      <c r="P295" s="7">
        <f t="shared" si="100"/>
        <v>40</v>
      </c>
      <c r="Q295" s="10">
        <f t="shared" si="101"/>
        <v>0.0010958871955941902</v>
      </c>
      <c r="R295" s="4">
        <f t="shared" si="102"/>
        <v>0.00014042373154028102</v>
      </c>
      <c r="S295" s="4">
        <f t="shared" si="103"/>
        <v>0.04334042373154028</v>
      </c>
      <c r="T295" s="4">
        <f t="shared" si="104"/>
        <v>23.073147742952646</v>
      </c>
    </row>
    <row r="296" spans="1:20" ht="12.75">
      <c r="A296">
        <f aca="true" t="shared" si="106" ref="A296:A322">A295+1</f>
        <v>41</v>
      </c>
      <c r="C296" t="s">
        <v>48</v>
      </c>
      <c r="D296">
        <f t="shared" si="93"/>
        <v>10</v>
      </c>
      <c r="E296" s="8">
        <f t="shared" si="94"/>
        <v>1.447680723646145</v>
      </c>
      <c r="F296" s="8">
        <f t="shared" si="95"/>
        <v>0.7598250478850574</v>
      </c>
      <c r="G296" s="8">
        <f t="shared" si="96"/>
        <v>0.03310418697980952</v>
      </c>
      <c r="H296" s="8">
        <f t="shared" si="105"/>
        <v>0.03310418697980952</v>
      </c>
      <c r="I296" s="6">
        <v>1</v>
      </c>
      <c r="J296" s="7">
        <v>2</v>
      </c>
      <c r="K296" s="1">
        <f t="shared" si="97"/>
        <v>1.724</v>
      </c>
      <c r="L296" s="6">
        <v>1</v>
      </c>
      <c r="M296" s="7">
        <v>0</v>
      </c>
      <c r="N296" s="6">
        <v>0</v>
      </c>
      <c r="O296" s="4">
        <f t="shared" si="99"/>
        <v>0.0432</v>
      </c>
      <c r="P296" s="7">
        <f t="shared" si="100"/>
        <v>41</v>
      </c>
      <c r="Q296" s="10">
        <f t="shared" si="101"/>
        <v>0.0010958871955941902</v>
      </c>
      <c r="R296" s="4">
        <f t="shared" si="102"/>
        <v>0.0001430948714613243</v>
      </c>
      <c r="S296" s="4">
        <f t="shared" si="103"/>
        <v>0.043343094871461325</v>
      </c>
      <c r="T296" s="4">
        <f t="shared" si="104"/>
        <v>23.071725795437754</v>
      </c>
    </row>
    <row r="297" spans="1:20" ht="12.75">
      <c r="A297">
        <f t="shared" si="106"/>
        <v>42</v>
      </c>
      <c r="C297" t="s">
        <v>48</v>
      </c>
      <c r="D297">
        <f t="shared" si="93"/>
        <v>11</v>
      </c>
      <c r="E297" s="8">
        <f t="shared" si="94"/>
        <v>1.474704457860835</v>
      </c>
      <c r="F297" s="8">
        <f t="shared" si="95"/>
        <v>0.6778754359089579</v>
      </c>
      <c r="G297" s="8">
        <f t="shared" si="96"/>
        <v>0.03310418697980952</v>
      </c>
      <c r="H297" s="8">
        <f t="shared" si="105"/>
        <v>0.03310418697980952</v>
      </c>
      <c r="I297" s="6">
        <v>1</v>
      </c>
      <c r="J297" s="7">
        <v>2</v>
      </c>
      <c r="K297" s="1">
        <f t="shared" si="97"/>
        <v>1.724</v>
      </c>
      <c r="L297" s="6">
        <v>1</v>
      </c>
      <c r="M297" s="7">
        <v>0</v>
      </c>
      <c r="N297" s="6">
        <v>0</v>
      </c>
      <c r="O297" s="4">
        <f t="shared" si="99"/>
        <v>0.0432</v>
      </c>
      <c r="P297" s="7">
        <f t="shared" si="100"/>
        <v>42</v>
      </c>
      <c r="Q297" s="10">
        <f t="shared" si="101"/>
        <v>0.0010958871955941902</v>
      </c>
      <c r="R297" s="4">
        <f t="shared" si="102"/>
        <v>0.0001457660113823676</v>
      </c>
      <c r="S297" s="4">
        <f t="shared" si="103"/>
        <v>0.04334576601138237</v>
      </c>
      <c r="T297" s="4">
        <f t="shared" si="104"/>
        <v>23.070304023175073</v>
      </c>
    </row>
    <row r="298" spans="1:20" ht="12.75">
      <c r="A298">
        <f t="shared" si="106"/>
        <v>43</v>
      </c>
      <c r="C298" t="s">
        <v>48</v>
      </c>
      <c r="D298">
        <f t="shared" si="93"/>
        <v>12</v>
      </c>
      <c r="E298" s="8">
        <f t="shared" si="94"/>
        <v>1.501728192075525</v>
      </c>
      <c r="F298" s="8">
        <f t="shared" si="95"/>
        <v>0.5959258239328585</v>
      </c>
      <c r="G298" s="8">
        <f t="shared" si="96"/>
        <v>0.03310418697980952</v>
      </c>
      <c r="H298" s="8">
        <f t="shared" si="105"/>
        <v>0.03310418697980952</v>
      </c>
      <c r="I298" s="6">
        <v>1</v>
      </c>
      <c r="J298" s="7">
        <v>2</v>
      </c>
      <c r="K298" s="1">
        <f t="shared" si="97"/>
        <v>1.724</v>
      </c>
      <c r="L298" s="6">
        <v>1</v>
      </c>
      <c r="M298" s="7">
        <v>0</v>
      </c>
      <c r="N298" s="6">
        <v>0</v>
      </c>
      <c r="O298" s="4">
        <f t="shared" si="99"/>
        <v>0.0432</v>
      </c>
      <c r="P298" s="7">
        <f t="shared" si="100"/>
        <v>43</v>
      </c>
      <c r="Q298" s="10">
        <f t="shared" si="101"/>
        <v>0.0010958871955941902</v>
      </c>
      <c r="R298" s="4">
        <f t="shared" si="102"/>
        <v>0.00014843715130341087</v>
      </c>
      <c r="S298" s="4">
        <f t="shared" si="103"/>
        <v>0.04334843715130341</v>
      </c>
      <c r="T298" s="4">
        <f t="shared" si="104"/>
        <v>23.068882426132213</v>
      </c>
    </row>
    <row r="299" spans="1:20" ht="12.75">
      <c r="A299">
        <f t="shared" si="106"/>
        <v>44</v>
      </c>
      <c r="B299">
        <v>4</v>
      </c>
      <c r="C299" t="s">
        <v>49</v>
      </c>
      <c r="D299">
        <f aca="true" t="shared" si="107" ref="D299:D322">G177</f>
        <v>1</v>
      </c>
      <c r="E299" s="9">
        <f aca="true" t="shared" si="108" ref="E299:E322">L177*2.54/100</f>
        <v>0.531415625</v>
      </c>
      <c r="F299" s="9">
        <f aca="true" t="shared" si="109" ref="F299:F322">M177*2.54/100</f>
        <v>1.666875</v>
      </c>
      <c r="G299" s="8">
        <f aca="true" t="shared" si="110" ref="G299:G322">SQRT(P177)*2.54/100</f>
        <v>0.04512522853127726</v>
      </c>
      <c r="H299" s="8">
        <f t="shared" si="105"/>
        <v>0.04512522853127726</v>
      </c>
      <c r="I299" s="6">
        <v>1</v>
      </c>
      <c r="J299" s="7">
        <v>2</v>
      </c>
      <c r="K299" s="6">
        <f aca="true" t="shared" si="111" ref="K299:K322">resinconel*100000000</f>
        <v>130</v>
      </c>
      <c r="L299" s="6">
        <v>1</v>
      </c>
      <c r="M299" s="7">
        <v>0</v>
      </c>
      <c r="N299" s="6">
        <v>0</v>
      </c>
      <c r="O299" s="4">
        <v>0</v>
      </c>
      <c r="P299" s="7">
        <f t="shared" si="100"/>
        <v>44</v>
      </c>
      <c r="Q299" s="10">
        <f t="shared" si="101"/>
        <v>0.0020362862499999994</v>
      </c>
      <c r="R299" s="4">
        <f t="shared" si="102"/>
        <v>0.0021316638076338016</v>
      </c>
      <c r="S299" s="4">
        <f t="shared" si="103"/>
        <v>0.0021316638076338016</v>
      </c>
      <c r="T299" s="4">
        <f t="shared" si="104"/>
        <v>469.117126452517</v>
      </c>
    </row>
    <row r="300" spans="1:20" ht="12.75">
      <c r="A300">
        <f t="shared" si="106"/>
        <v>45</v>
      </c>
      <c r="C300" t="s">
        <v>49</v>
      </c>
      <c r="D300">
        <f t="shared" si="107"/>
        <v>2</v>
      </c>
      <c r="E300" s="9">
        <f t="shared" si="108"/>
        <v>0.451246875</v>
      </c>
      <c r="F300" s="9">
        <f t="shared" si="109"/>
        <v>1.666875</v>
      </c>
      <c r="G300" s="8">
        <f t="shared" si="110"/>
        <v>0.04512522853127726</v>
      </c>
      <c r="H300" s="8">
        <f t="shared" si="105"/>
        <v>0.04512522853127726</v>
      </c>
      <c r="I300" s="6">
        <v>1</v>
      </c>
      <c r="J300" s="7">
        <v>2</v>
      </c>
      <c r="K300" s="6">
        <f t="shared" si="111"/>
        <v>130</v>
      </c>
      <c r="L300" s="6">
        <v>1</v>
      </c>
      <c r="M300" s="7">
        <v>0</v>
      </c>
      <c r="N300" s="6">
        <v>0</v>
      </c>
      <c r="O300" s="4">
        <v>0</v>
      </c>
      <c r="P300" s="7">
        <f t="shared" si="100"/>
        <v>45</v>
      </c>
      <c r="Q300" s="10">
        <f t="shared" si="101"/>
        <v>0.0020362862499999994</v>
      </c>
      <c r="R300" s="4">
        <f t="shared" si="102"/>
        <v>0.0018100834572663425</v>
      </c>
      <c r="S300" s="4">
        <f t="shared" si="103"/>
        <v>0.0018100834572663425</v>
      </c>
      <c r="T300" s="4">
        <f t="shared" si="104"/>
        <v>552.4607144414426</v>
      </c>
    </row>
    <row r="301" spans="1:20" ht="12.75">
      <c r="A301">
        <f t="shared" si="106"/>
        <v>46</v>
      </c>
      <c r="C301" t="s">
        <v>49</v>
      </c>
      <c r="D301">
        <f t="shared" si="107"/>
        <v>3</v>
      </c>
      <c r="E301" s="9">
        <f t="shared" si="108"/>
        <v>0.37107812500000004</v>
      </c>
      <c r="F301" s="9">
        <f t="shared" si="109"/>
        <v>1.666875</v>
      </c>
      <c r="G301" s="8">
        <f t="shared" si="110"/>
        <v>0.04512522853127726</v>
      </c>
      <c r="H301" s="8">
        <f t="shared" si="105"/>
        <v>0.04512522853127726</v>
      </c>
      <c r="I301" s="6">
        <v>1</v>
      </c>
      <c r="J301" s="7">
        <v>2</v>
      </c>
      <c r="K301" s="6">
        <f t="shared" si="111"/>
        <v>130</v>
      </c>
      <c r="L301" s="6">
        <v>1</v>
      </c>
      <c r="M301" s="7">
        <v>0</v>
      </c>
      <c r="N301" s="6">
        <v>0</v>
      </c>
      <c r="O301" s="4">
        <v>0</v>
      </c>
      <c r="P301" s="7">
        <f t="shared" si="100"/>
        <v>46</v>
      </c>
      <c r="Q301" s="10">
        <f t="shared" si="101"/>
        <v>0.0020362862499999994</v>
      </c>
      <c r="R301" s="4">
        <f t="shared" si="102"/>
        <v>0.0014885031068988832</v>
      </c>
      <c r="S301" s="4">
        <f t="shared" si="103"/>
        <v>0.0014885031068988832</v>
      </c>
      <c r="T301" s="4">
        <f t="shared" si="104"/>
        <v>671.815863443765</v>
      </c>
    </row>
    <row r="302" spans="1:20" ht="12.75">
      <c r="A302">
        <f t="shared" si="106"/>
        <v>47</v>
      </c>
      <c r="C302" t="s">
        <v>49</v>
      </c>
      <c r="D302">
        <f t="shared" si="107"/>
        <v>4</v>
      </c>
      <c r="E302" s="9">
        <f t="shared" si="108"/>
        <v>0.29090937499999997</v>
      </c>
      <c r="F302" s="9">
        <f t="shared" si="109"/>
        <v>1.666875</v>
      </c>
      <c r="G302" s="8">
        <f t="shared" si="110"/>
        <v>0.04512522853127726</v>
      </c>
      <c r="H302" s="8">
        <f t="shared" si="105"/>
        <v>0.04512522853127726</v>
      </c>
      <c r="I302" s="6">
        <v>1</v>
      </c>
      <c r="J302" s="7">
        <v>2</v>
      </c>
      <c r="K302" s="6">
        <f t="shared" si="111"/>
        <v>130</v>
      </c>
      <c r="L302" s="6">
        <v>1</v>
      </c>
      <c r="M302" s="7">
        <v>0</v>
      </c>
      <c r="N302" s="6">
        <v>0</v>
      </c>
      <c r="O302" s="4">
        <v>0</v>
      </c>
      <c r="P302" s="7">
        <f t="shared" si="100"/>
        <v>47</v>
      </c>
      <c r="Q302" s="10">
        <f t="shared" si="101"/>
        <v>0.0020362862499999994</v>
      </c>
      <c r="R302" s="4">
        <f t="shared" si="102"/>
        <v>0.0011669227565314236</v>
      </c>
      <c r="S302" s="4">
        <f t="shared" si="103"/>
        <v>0.0011669227565314236</v>
      </c>
      <c r="T302" s="4">
        <f t="shared" si="104"/>
        <v>856.9547507775177</v>
      </c>
    </row>
    <row r="303" spans="1:20" ht="12.75">
      <c r="A303">
        <f t="shared" si="106"/>
        <v>48</v>
      </c>
      <c r="B303">
        <v>5</v>
      </c>
      <c r="C303" t="s">
        <v>50</v>
      </c>
      <c r="D303">
        <f t="shared" si="107"/>
        <v>5</v>
      </c>
      <c r="E303" s="9">
        <f t="shared" si="108"/>
        <v>0.250825</v>
      </c>
      <c r="F303" s="9">
        <f t="shared" si="109"/>
        <v>1.628321428571429</v>
      </c>
      <c r="G303" s="8">
        <f t="shared" si="110"/>
        <v>0.02212759266488013</v>
      </c>
      <c r="H303" s="8">
        <f t="shared" si="105"/>
        <v>0.02212759266488013</v>
      </c>
      <c r="I303" s="6">
        <v>1</v>
      </c>
      <c r="J303" s="7">
        <v>2</v>
      </c>
      <c r="K303" s="6">
        <f t="shared" si="111"/>
        <v>130</v>
      </c>
      <c r="L303" s="6">
        <v>1</v>
      </c>
      <c r="M303" s="7">
        <v>0</v>
      </c>
      <c r="N303" s="6">
        <v>0</v>
      </c>
      <c r="O303" s="4">
        <v>0</v>
      </c>
      <c r="P303" s="7">
        <f t="shared" si="100"/>
        <v>48</v>
      </c>
      <c r="Q303" s="10">
        <f t="shared" si="101"/>
        <v>0.000489630357142857</v>
      </c>
      <c r="R303" s="4">
        <f t="shared" si="102"/>
        <v>0.004184327853016589</v>
      </c>
      <c r="S303" s="4">
        <f t="shared" si="103"/>
        <v>0.004184327853016589</v>
      </c>
      <c r="T303" s="4">
        <f t="shared" si="104"/>
        <v>238.98700941396706</v>
      </c>
    </row>
    <row r="304" spans="1:20" ht="12.75">
      <c r="A304">
        <f t="shared" si="106"/>
        <v>49</v>
      </c>
      <c r="C304" t="s">
        <v>50</v>
      </c>
      <c r="D304">
        <f t="shared" si="107"/>
        <v>6</v>
      </c>
      <c r="E304" s="9">
        <f t="shared" si="108"/>
        <v>0.250825</v>
      </c>
      <c r="F304" s="9">
        <f t="shared" si="109"/>
        <v>1.5512142857142857</v>
      </c>
      <c r="G304" s="8">
        <f t="shared" si="110"/>
        <v>0.02212759266488013</v>
      </c>
      <c r="H304" s="8">
        <f t="shared" si="105"/>
        <v>0.02212759266488013</v>
      </c>
      <c r="I304" s="6">
        <v>1</v>
      </c>
      <c r="J304" s="7">
        <v>2</v>
      </c>
      <c r="K304" s="6">
        <f t="shared" si="111"/>
        <v>130</v>
      </c>
      <c r="L304" s="6">
        <v>1</v>
      </c>
      <c r="M304" s="7">
        <v>0</v>
      </c>
      <c r="N304" s="6">
        <v>0</v>
      </c>
      <c r="O304" s="4">
        <v>0</v>
      </c>
      <c r="P304" s="7">
        <f t="shared" si="100"/>
        <v>49</v>
      </c>
      <c r="Q304" s="10">
        <f t="shared" si="101"/>
        <v>0.000489630357142857</v>
      </c>
      <c r="R304" s="4">
        <f t="shared" si="102"/>
        <v>0.004184327853016589</v>
      </c>
      <c r="S304" s="4">
        <f t="shared" si="103"/>
        <v>0.004184327853016589</v>
      </c>
      <c r="T304" s="4">
        <f t="shared" si="104"/>
        <v>238.98700941396706</v>
      </c>
    </row>
    <row r="305" spans="1:20" ht="12.75">
      <c r="A305">
        <f t="shared" si="106"/>
        <v>50</v>
      </c>
      <c r="B305" t="s">
        <v>64</v>
      </c>
      <c r="C305" t="s">
        <v>50</v>
      </c>
      <c r="D305">
        <f t="shared" si="107"/>
        <v>7</v>
      </c>
      <c r="E305" s="9">
        <f t="shared" si="108"/>
        <v>0.250825</v>
      </c>
      <c r="F305" s="9">
        <f t="shared" si="109"/>
        <v>1.474107142857143</v>
      </c>
      <c r="G305" s="8">
        <f t="shared" si="110"/>
        <v>0.02212759266488013</v>
      </c>
      <c r="H305" s="8">
        <f t="shared" si="105"/>
        <v>0.02212759266488013</v>
      </c>
      <c r="I305" s="6">
        <v>1</v>
      </c>
      <c r="J305" s="7">
        <v>2</v>
      </c>
      <c r="K305" s="6">
        <f t="shared" si="111"/>
        <v>130</v>
      </c>
      <c r="L305" s="6">
        <v>1</v>
      </c>
      <c r="M305" s="7">
        <v>0</v>
      </c>
      <c r="N305" s="6">
        <v>0</v>
      </c>
      <c r="O305" s="4">
        <v>0</v>
      </c>
      <c r="P305" s="7">
        <f t="shared" si="100"/>
        <v>50</v>
      </c>
      <c r="Q305" s="10">
        <f t="shared" si="101"/>
        <v>0.000489630357142857</v>
      </c>
      <c r="R305" s="4">
        <f t="shared" si="102"/>
        <v>0.004184327853016589</v>
      </c>
      <c r="S305" s="4">
        <f t="shared" si="103"/>
        <v>0.004184327853016589</v>
      </c>
      <c r="T305" s="4">
        <f t="shared" si="104"/>
        <v>238.98700941396706</v>
      </c>
    </row>
    <row r="306" spans="1:20" ht="12.75">
      <c r="A306">
        <f t="shared" si="106"/>
        <v>51</v>
      </c>
      <c r="C306" t="s">
        <v>50</v>
      </c>
      <c r="D306">
        <f t="shared" si="107"/>
        <v>8</v>
      </c>
      <c r="E306" s="9">
        <f t="shared" si="108"/>
        <v>0.250825</v>
      </c>
      <c r="F306" s="9">
        <f t="shared" si="109"/>
        <v>1.3969999999999998</v>
      </c>
      <c r="G306" s="8">
        <f t="shared" si="110"/>
        <v>0.02212759266488013</v>
      </c>
      <c r="H306" s="8">
        <f t="shared" si="105"/>
        <v>0.02212759266488013</v>
      </c>
      <c r="I306" s="6">
        <v>1</v>
      </c>
      <c r="J306" s="7">
        <v>2</v>
      </c>
      <c r="K306" s="6">
        <f t="shared" si="111"/>
        <v>130</v>
      </c>
      <c r="L306" s="6">
        <v>1</v>
      </c>
      <c r="M306" s="7">
        <v>0</v>
      </c>
      <c r="N306" s="6">
        <v>0</v>
      </c>
      <c r="O306" s="4">
        <v>0</v>
      </c>
      <c r="P306" s="7">
        <f t="shared" si="100"/>
        <v>51</v>
      </c>
      <c r="Q306" s="10">
        <f t="shared" si="101"/>
        <v>0.000489630357142857</v>
      </c>
      <c r="R306" s="4">
        <f t="shared" si="102"/>
        <v>0.004184327853016589</v>
      </c>
      <c r="S306" s="4">
        <f t="shared" si="103"/>
        <v>0.004184327853016589</v>
      </c>
      <c r="T306" s="4">
        <f t="shared" si="104"/>
        <v>238.98700941396706</v>
      </c>
    </row>
    <row r="307" spans="1:20" ht="12.75">
      <c r="A307">
        <f t="shared" si="106"/>
        <v>52</v>
      </c>
      <c r="C307" t="s">
        <v>50</v>
      </c>
      <c r="D307">
        <f t="shared" si="107"/>
        <v>9</v>
      </c>
      <c r="E307" s="9">
        <f t="shared" si="108"/>
        <v>0.250825</v>
      </c>
      <c r="F307" s="9">
        <f t="shared" si="109"/>
        <v>1.3198928571428572</v>
      </c>
      <c r="G307" s="8">
        <f t="shared" si="110"/>
        <v>0.02212759266488013</v>
      </c>
      <c r="H307" s="8">
        <f t="shared" si="105"/>
        <v>0.02212759266488013</v>
      </c>
      <c r="I307" s="6">
        <v>1</v>
      </c>
      <c r="J307" s="7">
        <v>2</v>
      </c>
      <c r="K307" s="6">
        <f t="shared" si="111"/>
        <v>130</v>
      </c>
      <c r="L307" s="6">
        <v>1</v>
      </c>
      <c r="M307" s="7">
        <v>0</v>
      </c>
      <c r="N307" s="6">
        <v>0</v>
      </c>
      <c r="O307" s="4">
        <v>0</v>
      </c>
      <c r="P307" s="7">
        <f t="shared" si="100"/>
        <v>52</v>
      </c>
      <c r="Q307" s="10">
        <f t="shared" si="101"/>
        <v>0.000489630357142857</v>
      </c>
      <c r="R307" s="4">
        <f t="shared" si="102"/>
        <v>0.004184327853016589</v>
      </c>
      <c r="S307" s="4">
        <f t="shared" si="103"/>
        <v>0.004184327853016589</v>
      </c>
      <c r="T307" s="4">
        <f t="shared" si="104"/>
        <v>238.98700941396706</v>
      </c>
    </row>
    <row r="308" spans="1:20" ht="12.75">
      <c r="A308">
        <f t="shared" si="106"/>
        <v>53</v>
      </c>
      <c r="C308" t="s">
        <v>50</v>
      </c>
      <c r="D308">
        <f t="shared" si="107"/>
        <v>10</v>
      </c>
      <c r="E308" s="9">
        <f t="shared" si="108"/>
        <v>0.250825</v>
      </c>
      <c r="F308" s="9">
        <f t="shared" si="109"/>
        <v>1.2427857142857144</v>
      </c>
      <c r="G308" s="8">
        <f t="shared" si="110"/>
        <v>0.02212759266488013</v>
      </c>
      <c r="H308" s="8">
        <f t="shared" si="105"/>
        <v>0.02212759266488013</v>
      </c>
      <c r="I308" s="6">
        <v>1</v>
      </c>
      <c r="J308" s="7">
        <v>2</v>
      </c>
      <c r="K308" s="6">
        <f t="shared" si="111"/>
        <v>130</v>
      </c>
      <c r="L308" s="6">
        <v>1</v>
      </c>
      <c r="M308" s="7">
        <v>0</v>
      </c>
      <c r="N308" s="6">
        <v>0</v>
      </c>
      <c r="O308" s="4">
        <v>0</v>
      </c>
      <c r="P308" s="7">
        <f t="shared" si="100"/>
        <v>53</v>
      </c>
      <c r="Q308" s="10">
        <f t="shared" si="101"/>
        <v>0.000489630357142857</v>
      </c>
      <c r="R308" s="4">
        <f t="shared" si="102"/>
        <v>0.004184327853016589</v>
      </c>
      <c r="S308" s="4">
        <f t="shared" si="103"/>
        <v>0.004184327853016589</v>
      </c>
      <c r="T308" s="4">
        <f t="shared" si="104"/>
        <v>238.98700941396706</v>
      </c>
    </row>
    <row r="309" spans="1:20" ht="12.75">
      <c r="A309">
        <f t="shared" si="106"/>
        <v>54</v>
      </c>
      <c r="C309" t="s">
        <v>50</v>
      </c>
      <c r="D309">
        <f t="shared" si="107"/>
        <v>11</v>
      </c>
      <c r="E309" s="9">
        <f t="shared" si="108"/>
        <v>0.250825</v>
      </c>
      <c r="F309" s="9">
        <f t="shared" si="109"/>
        <v>1.1656785714285716</v>
      </c>
      <c r="G309" s="8">
        <f t="shared" si="110"/>
        <v>0.02212759266488016</v>
      </c>
      <c r="H309" s="8">
        <f t="shared" si="105"/>
        <v>0.02212759266488016</v>
      </c>
      <c r="I309" s="6">
        <v>1</v>
      </c>
      <c r="J309" s="7">
        <v>2</v>
      </c>
      <c r="K309" s="6">
        <f t="shared" si="111"/>
        <v>130</v>
      </c>
      <c r="L309" s="6">
        <v>1</v>
      </c>
      <c r="M309" s="7">
        <v>0</v>
      </c>
      <c r="N309" s="6">
        <v>0</v>
      </c>
      <c r="O309" s="4">
        <v>0</v>
      </c>
      <c r="P309" s="7">
        <f t="shared" si="100"/>
        <v>54</v>
      </c>
      <c r="Q309" s="10">
        <f t="shared" si="101"/>
        <v>0.0004896303571428583</v>
      </c>
      <c r="R309" s="4">
        <f t="shared" si="102"/>
        <v>0.004184327853016577</v>
      </c>
      <c r="S309" s="4">
        <f t="shared" si="103"/>
        <v>0.004184327853016577</v>
      </c>
      <c r="T309" s="4">
        <f t="shared" si="104"/>
        <v>238.98700941396768</v>
      </c>
    </row>
    <row r="310" spans="1:20" ht="12.75">
      <c r="A310">
        <f t="shared" si="106"/>
        <v>55</v>
      </c>
      <c r="B310">
        <v>6</v>
      </c>
      <c r="C310" t="s">
        <v>51</v>
      </c>
      <c r="D310">
        <f t="shared" si="107"/>
        <v>12</v>
      </c>
      <c r="E310" s="9">
        <f t="shared" si="108"/>
        <v>0.20998815</v>
      </c>
      <c r="F310" s="9">
        <f t="shared" si="109"/>
        <v>1.1271250000000002</v>
      </c>
      <c r="G310" s="8">
        <f t="shared" si="110"/>
        <v>0.04554681086530647</v>
      </c>
      <c r="H310" s="8">
        <f t="shared" si="105"/>
        <v>0.04554681086530647</v>
      </c>
      <c r="I310" s="6">
        <v>1</v>
      </c>
      <c r="J310" s="7">
        <v>2</v>
      </c>
      <c r="K310" s="6">
        <f t="shared" si="111"/>
        <v>130</v>
      </c>
      <c r="L310" s="6">
        <v>1</v>
      </c>
      <c r="M310" s="7">
        <v>0</v>
      </c>
      <c r="N310" s="6">
        <v>0</v>
      </c>
      <c r="O310" s="4">
        <v>0</v>
      </c>
      <c r="P310" s="7">
        <f t="shared" si="100"/>
        <v>55</v>
      </c>
      <c r="Q310" s="10">
        <f t="shared" si="101"/>
        <v>0.00207451198</v>
      </c>
      <c r="R310" s="4">
        <f t="shared" si="102"/>
        <v>0.0008268030326777724</v>
      </c>
      <c r="S310" s="4">
        <f t="shared" si="103"/>
        <v>0.0008268030326777724</v>
      </c>
      <c r="T310" s="4">
        <f t="shared" si="104"/>
        <v>1209.4779052288832</v>
      </c>
    </row>
    <row r="311" spans="1:20" ht="12.75">
      <c r="A311">
        <f t="shared" si="106"/>
        <v>56</v>
      </c>
      <c r="C311" t="s">
        <v>51</v>
      </c>
      <c r="D311">
        <f t="shared" si="107"/>
        <v>13</v>
      </c>
      <c r="E311" s="9">
        <f t="shared" si="108"/>
        <v>0.1691513</v>
      </c>
      <c r="F311" s="9">
        <f t="shared" si="109"/>
        <v>1.0801614583333334</v>
      </c>
      <c r="G311" s="8">
        <f t="shared" si="110"/>
        <v>0.019353615241516672</v>
      </c>
      <c r="H311" s="8">
        <f t="shared" si="105"/>
        <v>0.019353615241516672</v>
      </c>
      <c r="I311" s="6">
        <v>1</v>
      </c>
      <c r="J311" s="7">
        <v>2</v>
      </c>
      <c r="K311" s="6">
        <f t="shared" si="111"/>
        <v>130</v>
      </c>
      <c r="L311" s="6">
        <v>1</v>
      </c>
      <c r="M311" s="7">
        <v>0</v>
      </c>
      <c r="N311" s="6">
        <v>0</v>
      </c>
      <c r="O311" s="4">
        <v>0</v>
      </c>
      <c r="P311" s="7">
        <f t="shared" si="100"/>
        <v>56</v>
      </c>
      <c r="Q311" s="10">
        <f t="shared" si="101"/>
        <v>0.0003745624229166664</v>
      </c>
      <c r="R311" s="4">
        <f t="shared" si="102"/>
        <v>0.0036887086562146084</v>
      </c>
      <c r="S311" s="4">
        <f t="shared" si="103"/>
        <v>0.0036887086562146084</v>
      </c>
      <c r="T311" s="4">
        <f t="shared" si="104"/>
        <v>271.09758270424385</v>
      </c>
    </row>
    <row r="312" spans="1:20" ht="12.75">
      <c r="A312">
        <f t="shared" si="106"/>
        <v>57</v>
      </c>
      <c r="C312" t="s">
        <v>51</v>
      </c>
      <c r="D312">
        <f t="shared" si="107"/>
        <v>14</v>
      </c>
      <c r="E312" s="9">
        <f t="shared" si="108"/>
        <v>0.1691513</v>
      </c>
      <c r="F312" s="9">
        <f t="shared" si="109"/>
        <v>0.986234375</v>
      </c>
      <c r="G312" s="8">
        <f t="shared" si="110"/>
        <v>0.019353615241516672</v>
      </c>
      <c r="H312" s="8">
        <f t="shared" si="105"/>
        <v>0.019353615241516672</v>
      </c>
      <c r="I312" s="6">
        <v>1</v>
      </c>
      <c r="J312" s="7">
        <v>2</v>
      </c>
      <c r="K312" s="6">
        <f t="shared" si="111"/>
        <v>130</v>
      </c>
      <c r="L312" s="6">
        <v>1</v>
      </c>
      <c r="M312" s="7">
        <v>0</v>
      </c>
      <c r="N312" s="6">
        <v>0</v>
      </c>
      <c r="O312" s="4">
        <v>0</v>
      </c>
      <c r="P312" s="7">
        <f t="shared" si="100"/>
        <v>57</v>
      </c>
      <c r="Q312" s="10">
        <f t="shared" si="101"/>
        <v>0.0003745624229166664</v>
      </c>
      <c r="R312" s="4">
        <f t="shared" si="102"/>
        <v>0.0036887086562146084</v>
      </c>
      <c r="S312" s="4">
        <f t="shared" si="103"/>
        <v>0.0036887086562146084</v>
      </c>
      <c r="T312" s="4">
        <f t="shared" si="104"/>
        <v>271.09758270424385</v>
      </c>
    </row>
    <row r="313" spans="1:20" ht="12.75">
      <c r="A313">
        <f t="shared" si="106"/>
        <v>58</v>
      </c>
      <c r="C313" t="s">
        <v>51</v>
      </c>
      <c r="D313">
        <f t="shared" si="107"/>
        <v>15</v>
      </c>
      <c r="E313" s="9">
        <f t="shared" si="108"/>
        <v>0.1691513</v>
      </c>
      <c r="F313" s="9">
        <f t="shared" si="109"/>
        <v>0.8923072916666669</v>
      </c>
      <c r="G313" s="8">
        <f t="shared" si="110"/>
        <v>0.019353615241516672</v>
      </c>
      <c r="H313" s="8">
        <f t="shared" si="105"/>
        <v>0.019353615241516672</v>
      </c>
      <c r="I313" s="6">
        <v>1</v>
      </c>
      <c r="J313" s="7">
        <v>2</v>
      </c>
      <c r="K313" s="6">
        <f t="shared" si="111"/>
        <v>130</v>
      </c>
      <c r="L313" s="6">
        <v>1</v>
      </c>
      <c r="M313" s="7">
        <v>0</v>
      </c>
      <c r="N313" s="6">
        <v>0</v>
      </c>
      <c r="O313" s="4">
        <v>0</v>
      </c>
      <c r="P313" s="7">
        <f t="shared" si="100"/>
        <v>58</v>
      </c>
      <c r="Q313" s="10">
        <f t="shared" si="101"/>
        <v>0.0003745624229166664</v>
      </c>
      <c r="R313" s="4">
        <f t="shared" si="102"/>
        <v>0.0036887086562146084</v>
      </c>
      <c r="S313" s="4">
        <f t="shared" si="103"/>
        <v>0.0036887086562146084</v>
      </c>
      <c r="T313" s="4">
        <f t="shared" si="104"/>
        <v>271.09758270424385</v>
      </c>
    </row>
    <row r="314" spans="1:20" ht="12.75">
      <c r="A314">
        <f t="shared" si="106"/>
        <v>59</v>
      </c>
      <c r="C314" t="s">
        <v>51</v>
      </c>
      <c r="D314">
        <f t="shared" si="107"/>
        <v>16</v>
      </c>
      <c r="E314" s="9">
        <f t="shared" si="108"/>
        <v>0.1691513</v>
      </c>
      <c r="F314" s="9">
        <f t="shared" si="109"/>
        <v>0.7983802083333335</v>
      </c>
      <c r="G314" s="8">
        <f t="shared" si="110"/>
        <v>0.019353615241516683</v>
      </c>
      <c r="H314" s="8">
        <f t="shared" si="105"/>
        <v>0.019353615241516683</v>
      </c>
      <c r="I314" s="6">
        <v>1</v>
      </c>
      <c r="J314" s="7">
        <v>2</v>
      </c>
      <c r="K314" s="6">
        <f t="shared" si="111"/>
        <v>130</v>
      </c>
      <c r="L314" s="6">
        <v>1</v>
      </c>
      <c r="M314" s="7">
        <v>0</v>
      </c>
      <c r="N314" s="6">
        <v>0</v>
      </c>
      <c r="O314" s="4">
        <v>0</v>
      </c>
      <c r="P314" s="7">
        <f t="shared" si="100"/>
        <v>59</v>
      </c>
      <c r="Q314" s="10">
        <f t="shared" si="101"/>
        <v>0.00037456242291666685</v>
      </c>
      <c r="R314" s="4">
        <f t="shared" si="102"/>
        <v>0.003688708656214604</v>
      </c>
      <c r="S314" s="4">
        <f t="shared" si="103"/>
        <v>0.003688708656214604</v>
      </c>
      <c r="T314" s="4">
        <f t="shared" si="104"/>
        <v>271.0975827042442</v>
      </c>
    </row>
    <row r="315" spans="1:20" ht="12.75">
      <c r="A315">
        <f t="shared" si="106"/>
        <v>60</v>
      </c>
      <c r="C315" t="s">
        <v>51</v>
      </c>
      <c r="D315">
        <f t="shared" si="107"/>
        <v>17</v>
      </c>
      <c r="E315" s="9">
        <f t="shared" si="108"/>
        <v>0.1691513</v>
      </c>
      <c r="F315" s="9">
        <f t="shared" si="109"/>
        <v>0.7044531250000001</v>
      </c>
      <c r="G315" s="8">
        <f t="shared" si="110"/>
        <v>0.019353615241516683</v>
      </c>
      <c r="H315" s="8">
        <f t="shared" si="105"/>
        <v>0.019353615241516683</v>
      </c>
      <c r="I315" s="6">
        <v>1</v>
      </c>
      <c r="J315" s="7">
        <v>2</v>
      </c>
      <c r="K315" s="6">
        <f t="shared" si="111"/>
        <v>130</v>
      </c>
      <c r="L315" s="6">
        <v>1</v>
      </c>
      <c r="M315" s="7">
        <v>0</v>
      </c>
      <c r="N315" s="6">
        <v>0</v>
      </c>
      <c r="O315" s="4">
        <v>0</v>
      </c>
      <c r="P315" s="7">
        <f t="shared" si="100"/>
        <v>60</v>
      </c>
      <c r="Q315" s="10">
        <f t="shared" si="101"/>
        <v>0.00037456242291666685</v>
      </c>
      <c r="R315" s="4">
        <f t="shared" si="102"/>
        <v>0.003688708656214604</v>
      </c>
      <c r="S315" s="4">
        <f t="shared" si="103"/>
        <v>0.003688708656214604</v>
      </c>
      <c r="T315" s="4">
        <f t="shared" si="104"/>
        <v>271.0975827042442</v>
      </c>
    </row>
    <row r="316" spans="1:20" ht="12.75">
      <c r="A316">
        <f t="shared" si="106"/>
        <v>61</v>
      </c>
      <c r="C316" t="s">
        <v>51</v>
      </c>
      <c r="D316">
        <f t="shared" si="107"/>
        <v>18</v>
      </c>
      <c r="E316" s="9">
        <f t="shared" si="108"/>
        <v>0.1691513</v>
      </c>
      <c r="F316" s="9">
        <f t="shared" si="109"/>
        <v>0.6105260416666668</v>
      </c>
      <c r="G316" s="8">
        <f t="shared" si="110"/>
        <v>0.019353615241516683</v>
      </c>
      <c r="H316" s="8">
        <f t="shared" si="105"/>
        <v>0.019353615241516683</v>
      </c>
      <c r="I316" s="6">
        <v>1</v>
      </c>
      <c r="J316" s="7">
        <v>2</v>
      </c>
      <c r="K316" s="6">
        <f t="shared" si="111"/>
        <v>130</v>
      </c>
      <c r="L316" s="6">
        <v>1</v>
      </c>
      <c r="M316" s="7">
        <v>0</v>
      </c>
      <c r="N316" s="6">
        <v>0</v>
      </c>
      <c r="O316" s="4">
        <v>0</v>
      </c>
      <c r="P316" s="7">
        <f t="shared" si="100"/>
        <v>61</v>
      </c>
      <c r="Q316" s="10">
        <f t="shared" si="101"/>
        <v>0.00037456242291666685</v>
      </c>
      <c r="R316" s="4">
        <f t="shared" si="102"/>
        <v>0.003688708656214604</v>
      </c>
      <c r="S316" s="4">
        <f t="shared" si="103"/>
        <v>0.003688708656214604</v>
      </c>
      <c r="T316" s="4">
        <f t="shared" si="104"/>
        <v>271.0975827042442</v>
      </c>
    </row>
    <row r="317" spans="1:20" ht="12.75">
      <c r="A317">
        <f t="shared" si="106"/>
        <v>62</v>
      </c>
      <c r="C317" t="s">
        <v>51</v>
      </c>
      <c r="D317">
        <f t="shared" si="107"/>
        <v>19</v>
      </c>
      <c r="E317" s="9">
        <f t="shared" si="108"/>
        <v>0.1691513</v>
      </c>
      <c r="F317" s="9">
        <f t="shared" si="109"/>
        <v>0.5165989583333335</v>
      </c>
      <c r="G317" s="8">
        <f t="shared" si="110"/>
        <v>0.019353615241516683</v>
      </c>
      <c r="H317" s="8">
        <f t="shared" si="105"/>
        <v>0.019353615241516683</v>
      </c>
      <c r="I317" s="6">
        <v>1</v>
      </c>
      <c r="J317" s="7">
        <v>2</v>
      </c>
      <c r="K317" s="6">
        <f t="shared" si="111"/>
        <v>130</v>
      </c>
      <c r="L317" s="6">
        <v>1</v>
      </c>
      <c r="M317" s="7">
        <v>0</v>
      </c>
      <c r="N317" s="6">
        <v>0</v>
      </c>
      <c r="O317" s="4">
        <v>0</v>
      </c>
      <c r="P317" s="7">
        <f t="shared" si="100"/>
        <v>62</v>
      </c>
      <c r="Q317" s="10">
        <f t="shared" si="101"/>
        <v>0.00037456242291666685</v>
      </c>
      <c r="R317" s="4">
        <f t="shared" si="102"/>
        <v>0.003688708656214604</v>
      </c>
      <c r="S317" s="4">
        <f t="shared" si="103"/>
        <v>0.003688708656214604</v>
      </c>
      <c r="T317" s="4">
        <f t="shared" si="104"/>
        <v>271.0975827042442</v>
      </c>
    </row>
    <row r="318" spans="1:20" ht="12.75">
      <c r="A318">
        <f t="shared" si="106"/>
        <v>63</v>
      </c>
      <c r="C318" t="s">
        <v>51</v>
      </c>
      <c r="D318">
        <f t="shared" si="107"/>
        <v>20</v>
      </c>
      <c r="E318" s="9">
        <f t="shared" si="108"/>
        <v>0.1691513</v>
      </c>
      <c r="F318" s="9">
        <f t="shared" si="109"/>
        <v>0.42267187500000014</v>
      </c>
      <c r="G318" s="8">
        <f t="shared" si="110"/>
        <v>0.019353615241516676</v>
      </c>
      <c r="H318" s="8">
        <f t="shared" si="105"/>
        <v>0.019353615241516676</v>
      </c>
      <c r="I318" s="6">
        <v>1</v>
      </c>
      <c r="J318" s="7">
        <v>2</v>
      </c>
      <c r="K318" s="6">
        <f t="shared" si="111"/>
        <v>130</v>
      </c>
      <c r="L318" s="6">
        <v>1</v>
      </c>
      <c r="M318" s="7">
        <v>0</v>
      </c>
      <c r="N318" s="6">
        <v>0</v>
      </c>
      <c r="O318" s="4">
        <v>0</v>
      </c>
      <c r="P318" s="7">
        <f t="shared" si="100"/>
        <v>63</v>
      </c>
      <c r="Q318" s="10">
        <f t="shared" si="101"/>
        <v>0.0003745624229166666</v>
      </c>
      <c r="R318" s="4">
        <f t="shared" si="102"/>
        <v>0.0036887086562146067</v>
      </c>
      <c r="S318" s="4">
        <f t="shared" si="103"/>
        <v>0.0036887086562146067</v>
      </c>
      <c r="T318" s="4">
        <f t="shared" si="104"/>
        <v>271.09758270424396</v>
      </c>
    </row>
    <row r="319" spans="1:20" ht="12.75">
      <c r="A319">
        <f t="shared" si="106"/>
        <v>64</v>
      </c>
      <c r="C319" t="s">
        <v>51</v>
      </c>
      <c r="D319">
        <f t="shared" si="107"/>
        <v>21</v>
      </c>
      <c r="E319" s="9">
        <f t="shared" si="108"/>
        <v>0.1691513</v>
      </c>
      <c r="F319" s="9">
        <f t="shared" si="109"/>
        <v>0.32874479166666676</v>
      </c>
      <c r="G319" s="8">
        <f t="shared" si="110"/>
        <v>0.019353615241516676</v>
      </c>
      <c r="H319" s="8">
        <f t="shared" si="105"/>
        <v>0.019353615241516676</v>
      </c>
      <c r="I319" s="6">
        <v>1</v>
      </c>
      <c r="J319" s="7">
        <v>2</v>
      </c>
      <c r="K319" s="6">
        <f t="shared" si="111"/>
        <v>130</v>
      </c>
      <c r="L319" s="6">
        <v>1</v>
      </c>
      <c r="M319" s="7">
        <v>0</v>
      </c>
      <c r="N319" s="6">
        <v>0</v>
      </c>
      <c r="O319" s="4">
        <v>0</v>
      </c>
      <c r="P319" s="7">
        <f t="shared" si="100"/>
        <v>64</v>
      </c>
      <c r="Q319" s="10">
        <f t="shared" si="101"/>
        <v>0.0003745624229166666</v>
      </c>
      <c r="R319" s="4">
        <f t="shared" si="102"/>
        <v>0.0036887086562146067</v>
      </c>
      <c r="S319" s="4">
        <f t="shared" si="103"/>
        <v>0.0036887086562146067</v>
      </c>
      <c r="T319" s="4">
        <f t="shared" si="104"/>
        <v>271.09758270424396</v>
      </c>
    </row>
    <row r="320" spans="1:20" ht="12.75">
      <c r="A320">
        <f t="shared" si="106"/>
        <v>65</v>
      </c>
      <c r="C320" t="s">
        <v>51</v>
      </c>
      <c r="D320">
        <f t="shared" si="107"/>
        <v>22</v>
      </c>
      <c r="E320" s="9">
        <f t="shared" si="108"/>
        <v>0.1691513</v>
      </c>
      <c r="F320" s="9">
        <f t="shared" si="109"/>
        <v>0.23481770833333346</v>
      </c>
      <c r="G320" s="8">
        <f t="shared" si="110"/>
        <v>0.019353615241516676</v>
      </c>
      <c r="H320" s="8">
        <f t="shared" si="105"/>
        <v>0.019353615241516676</v>
      </c>
      <c r="I320" s="6">
        <v>1</v>
      </c>
      <c r="J320" s="7">
        <v>2</v>
      </c>
      <c r="K320" s="6">
        <f t="shared" si="111"/>
        <v>130</v>
      </c>
      <c r="L320" s="6">
        <v>1</v>
      </c>
      <c r="M320" s="7">
        <v>0</v>
      </c>
      <c r="N320" s="6">
        <v>0</v>
      </c>
      <c r="O320" s="4">
        <v>0</v>
      </c>
      <c r="P320" s="7">
        <f t="shared" si="100"/>
        <v>65</v>
      </c>
      <c r="Q320" s="10">
        <f t="shared" si="101"/>
        <v>0.0003745624229166666</v>
      </c>
      <c r="R320" s="4">
        <f t="shared" si="102"/>
        <v>0.0036887086562146067</v>
      </c>
      <c r="S320" s="4">
        <f t="shared" si="103"/>
        <v>0.0036887086562146067</v>
      </c>
      <c r="T320" s="4">
        <f t="shared" si="104"/>
        <v>271.09758270424396</v>
      </c>
    </row>
    <row r="321" spans="1:20" ht="12.75">
      <c r="A321">
        <f t="shared" si="106"/>
        <v>66</v>
      </c>
      <c r="C321" t="s">
        <v>51</v>
      </c>
      <c r="D321">
        <f t="shared" si="107"/>
        <v>23</v>
      </c>
      <c r="E321" s="9">
        <f t="shared" si="108"/>
        <v>0.1691513</v>
      </c>
      <c r="F321" s="9">
        <f t="shared" si="109"/>
        <v>0.1408906250000001</v>
      </c>
      <c r="G321" s="8">
        <f t="shared" si="110"/>
        <v>0.019353615241516676</v>
      </c>
      <c r="H321" s="8">
        <f t="shared" si="105"/>
        <v>0.019353615241516676</v>
      </c>
      <c r="I321" s="6">
        <v>1</v>
      </c>
      <c r="J321" s="7">
        <v>2</v>
      </c>
      <c r="K321" s="6">
        <f t="shared" si="111"/>
        <v>130</v>
      </c>
      <c r="L321" s="6">
        <v>1</v>
      </c>
      <c r="M321" s="7">
        <v>0</v>
      </c>
      <c r="N321" s="6">
        <v>0</v>
      </c>
      <c r="O321" s="4">
        <v>0</v>
      </c>
      <c r="P321" s="7">
        <f t="shared" si="100"/>
        <v>66</v>
      </c>
      <c r="Q321" s="10">
        <f t="shared" si="101"/>
        <v>0.0003745624229166666</v>
      </c>
      <c r="R321" s="4">
        <f t="shared" si="102"/>
        <v>0.0036887086562146067</v>
      </c>
      <c r="S321" s="4">
        <f t="shared" si="103"/>
        <v>0.0036887086562146067</v>
      </c>
      <c r="T321" s="4">
        <f t="shared" si="104"/>
        <v>271.09758270424396</v>
      </c>
    </row>
    <row r="322" spans="1:20" ht="12.75">
      <c r="A322">
        <f t="shared" si="106"/>
        <v>67</v>
      </c>
      <c r="B322" t="s">
        <v>64</v>
      </c>
      <c r="C322" t="s">
        <v>51</v>
      </c>
      <c r="D322">
        <f t="shared" si="107"/>
        <v>24</v>
      </c>
      <c r="E322" s="9">
        <f t="shared" si="108"/>
        <v>0.1691513</v>
      </c>
      <c r="F322" s="9">
        <f t="shared" si="109"/>
        <v>0.04696354166666678</v>
      </c>
      <c r="G322" s="8">
        <f t="shared" si="110"/>
        <v>0.019353615241516676</v>
      </c>
      <c r="H322" s="8">
        <f t="shared" si="105"/>
        <v>0.019353615241516676</v>
      </c>
      <c r="I322" s="6">
        <v>1</v>
      </c>
      <c r="J322" s="7">
        <v>2</v>
      </c>
      <c r="K322" s="6">
        <f t="shared" si="111"/>
        <v>130</v>
      </c>
      <c r="L322" s="6">
        <v>1</v>
      </c>
      <c r="M322" s="7">
        <v>0</v>
      </c>
      <c r="N322" s="6">
        <v>0</v>
      </c>
      <c r="O322" s="4">
        <v>0</v>
      </c>
      <c r="P322" s="7">
        <f t="shared" si="100"/>
        <v>67</v>
      </c>
      <c r="Q322" s="10">
        <f t="shared" si="101"/>
        <v>0.0003745624229166666</v>
      </c>
      <c r="R322" s="4">
        <f t="shared" si="102"/>
        <v>0.0036887086562146067</v>
      </c>
      <c r="S322" s="4">
        <f t="shared" si="103"/>
        <v>0.0036887086562146067</v>
      </c>
      <c r="T322" s="4">
        <f t="shared" si="104"/>
        <v>271.09758270424396</v>
      </c>
    </row>
    <row r="323" spans="1:20" ht="12.75">
      <c r="A323">
        <v>68</v>
      </c>
      <c r="B323">
        <v>7</v>
      </c>
      <c r="C323" t="s">
        <v>52</v>
      </c>
      <c r="D323" s="2">
        <v>1</v>
      </c>
      <c r="E323" s="8">
        <f aca="true" t="shared" si="112" ref="E323:F328">E228*2.54/100</f>
        <v>0.7272666282259848</v>
      </c>
      <c r="F323" s="8">
        <f t="shared" si="112"/>
        <v>1.6255570504237928</v>
      </c>
      <c r="G323" s="8">
        <f aca="true" t="shared" si="113" ref="G323:G328">SQRT(P228)*2.54/100</f>
        <v>0.051256036310420756</v>
      </c>
      <c r="H323" s="8">
        <f t="shared" si="105"/>
        <v>0.051256036310420756</v>
      </c>
      <c r="I323" s="6">
        <v>1</v>
      </c>
      <c r="J323" s="7">
        <v>2</v>
      </c>
      <c r="K323" s="1">
        <v>1.724</v>
      </c>
      <c r="L323" s="6">
        <v>1</v>
      </c>
      <c r="M323" s="7">
        <v>0</v>
      </c>
      <c r="N323" s="6">
        <v>0</v>
      </c>
      <c r="O323" s="4">
        <f aca="true" t="shared" si="114" ref="O323:O328">obdres</f>
        <v>0.00860968396959032</v>
      </c>
      <c r="P323" s="7">
        <v>68</v>
      </c>
      <c r="Q323" s="10">
        <f t="shared" si="101"/>
        <v>0.002627181258255171</v>
      </c>
      <c r="R323" s="4">
        <f t="shared" si="102"/>
        <v>2.9986152980333815E-05</v>
      </c>
      <c r="S323" s="4">
        <f t="shared" si="103"/>
        <v>0.008639670122570654</v>
      </c>
      <c r="T323" s="4">
        <f t="shared" si="104"/>
        <v>115.7451599208118</v>
      </c>
    </row>
    <row r="324" spans="1:20" ht="12.75">
      <c r="A324">
        <v>69</v>
      </c>
      <c r="C324" t="s">
        <v>52</v>
      </c>
      <c r="D324" s="2">
        <v>2</v>
      </c>
      <c r="E324" s="8">
        <f t="shared" si="112"/>
        <v>0.8235029948926514</v>
      </c>
      <c r="F324" s="8">
        <f t="shared" si="112"/>
        <v>1.5876517837571262</v>
      </c>
      <c r="G324" s="8">
        <f t="shared" si="113"/>
        <v>0.05125603631042078</v>
      </c>
      <c r="H324" s="8">
        <f t="shared" si="105"/>
        <v>0.05125603631042078</v>
      </c>
      <c r="I324" s="6">
        <v>1</v>
      </c>
      <c r="J324" s="7">
        <v>2</v>
      </c>
      <c r="K324" s="1">
        <v>1.724</v>
      </c>
      <c r="L324" s="6">
        <v>1</v>
      </c>
      <c r="M324" s="7">
        <v>0</v>
      </c>
      <c r="N324" s="6">
        <v>0</v>
      </c>
      <c r="O324" s="4">
        <f t="shared" si="114"/>
        <v>0.00860968396959032</v>
      </c>
      <c r="P324" s="7">
        <v>69</v>
      </c>
      <c r="Q324" s="10">
        <f t="shared" si="101"/>
        <v>0.002627181258255173</v>
      </c>
      <c r="R324" s="4">
        <f t="shared" si="102"/>
        <v>3.395410407438766E-05</v>
      </c>
      <c r="S324" s="4">
        <f t="shared" si="103"/>
        <v>0.008643638073664707</v>
      </c>
      <c r="T324" s="4">
        <f t="shared" si="104"/>
        <v>115.69202591288308</v>
      </c>
    </row>
    <row r="325" spans="1:20" ht="12.75">
      <c r="A325">
        <v>70</v>
      </c>
      <c r="C325" t="s">
        <v>52</v>
      </c>
      <c r="D325" s="2">
        <v>3</v>
      </c>
      <c r="E325" s="8">
        <f t="shared" si="112"/>
        <v>0.9197393615593181</v>
      </c>
      <c r="F325" s="8">
        <f t="shared" si="112"/>
        <v>1.5497465170904592</v>
      </c>
      <c r="G325" s="8">
        <f t="shared" si="113"/>
        <v>0.05125603631042078</v>
      </c>
      <c r="H325" s="8">
        <f t="shared" si="105"/>
        <v>0.05125603631042078</v>
      </c>
      <c r="I325" s="6">
        <v>1</v>
      </c>
      <c r="J325" s="7">
        <v>2</v>
      </c>
      <c r="K325" s="1">
        <v>1.724</v>
      </c>
      <c r="L325" s="6">
        <v>1</v>
      </c>
      <c r="M325" s="7">
        <v>0</v>
      </c>
      <c r="N325" s="6">
        <v>0</v>
      </c>
      <c r="O325" s="4">
        <f t="shared" si="114"/>
        <v>0.00860968396959032</v>
      </c>
      <c r="P325" s="7">
        <v>70</v>
      </c>
      <c r="Q325" s="10">
        <f t="shared" si="101"/>
        <v>0.002627181258255173</v>
      </c>
      <c r="R325" s="4">
        <f t="shared" si="102"/>
        <v>3.7922055168441525E-05</v>
      </c>
      <c r="S325" s="4">
        <f t="shared" si="103"/>
        <v>0.008647606024758761</v>
      </c>
      <c r="T325" s="4">
        <f t="shared" si="104"/>
        <v>115.6389406659974</v>
      </c>
    </row>
    <row r="326" spans="1:20" ht="12.75">
      <c r="A326">
        <v>71</v>
      </c>
      <c r="B326" t="s">
        <v>64</v>
      </c>
      <c r="C326" t="s">
        <v>52</v>
      </c>
      <c r="D326" s="2">
        <v>4</v>
      </c>
      <c r="E326" s="8">
        <f t="shared" si="112"/>
        <v>1.015975728225985</v>
      </c>
      <c r="F326" s="8">
        <f t="shared" si="112"/>
        <v>1.5118412504237926</v>
      </c>
      <c r="G326" s="8">
        <f t="shared" si="113"/>
        <v>0.05125603631042078</v>
      </c>
      <c r="H326" s="8">
        <f t="shared" si="105"/>
        <v>0.05125603631042078</v>
      </c>
      <c r="I326" s="6">
        <v>1</v>
      </c>
      <c r="J326" s="7">
        <v>2</v>
      </c>
      <c r="K326" s="1">
        <v>1.724</v>
      </c>
      <c r="L326" s="6">
        <v>1</v>
      </c>
      <c r="M326" s="7">
        <v>0</v>
      </c>
      <c r="N326" s="6">
        <v>0</v>
      </c>
      <c r="O326" s="4">
        <f t="shared" si="114"/>
        <v>0.00860968396959032</v>
      </c>
      <c r="P326" s="7">
        <v>71</v>
      </c>
      <c r="Q326" s="10">
        <f t="shared" si="101"/>
        <v>0.002627181258255173</v>
      </c>
      <c r="R326" s="4">
        <f>(K326/100*0.000001)*2*PI()*E326/Q326</f>
        <v>4.18900062624954E-05</v>
      </c>
      <c r="S326" s="4">
        <f>O326+R326</f>
        <v>0.008651573975852814</v>
      </c>
      <c r="T326" s="4">
        <f>1/S326</f>
        <v>115.58590411306362</v>
      </c>
    </row>
    <row r="327" spans="1:25" ht="12.75">
      <c r="A327">
        <v>72</v>
      </c>
      <c r="B327" t="s">
        <v>64</v>
      </c>
      <c r="C327" t="s">
        <v>52</v>
      </c>
      <c r="D327" s="2">
        <v>5</v>
      </c>
      <c r="E327" s="8">
        <f t="shared" si="112"/>
        <v>1.1122120948926517</v>
      </c>
      <c r="F327" s="8">
        <f t="shared" si="112"/>
        <v>1.473935983757126</v>
      </c>
      <c r="G327" s="8">
        <f t="shared" si="113"/>
        <v>0.05125603631042078</v>
      </c>
      <c r="H327" s="8">
        <f>G327</f>
        <v>0.05125603631042078</v>
      </c>
      <c r="I327" s="6">
        <v>1</v>
      </c>
      <c r="J327" s="7">
        <v>2</v>
      </c>
      <c r="K327" s="1">
        <v>1.724</v>
      </c>
      <c r="L327" s="6">
        <v>1</v>
      </c>
      <c r="M327" s="7">
        <v>0</v>
      </c>
      <c r="N327" s="6">
        <v>0</v>
      </c>
      <c r="O327" s="4">
        <f t="shared" si="114"/>
        <v>0.00860968396959032</v>
      </c>
      <c r="P327" s="7">
        <v>72</v>
      </c>
      <c r="Q327" s="10">
        <f t="shared" si="101"/>
        <v>0.002627181258255173</v>
      </c>
      <c r="R327" s="4">
        <f>(K327/100*0.000001)*2*PI()*E327/Q327</f>
        <v>4.5857957356549266E-05</v>
      </c>
      <c r="S327" s="4">
        <f>O327+R327</f>
        <v>0.00865554192694687</v>
      </c>
      <c r="T327" s="4">
        <f>1/S327</f>
        <v>115.53291618711356</v>
      </c>
      <c r="V327" t="s">
        <v>53</v>
      </c>
      <c r="Y327" t="s">
        <v>54</v>
      </c>
    </row>
    <row r="328" spans="1:25" ht="12.75">
      <c r="A328">
        <v>73</v>
      </c>
      <c r="C328" t="s">
        <v>52</v>
      </c>
      <c r="D328" s="2">
        <v>6</v>
      </c>
      <c r="E328" s="8">
        <f t="shared" si="112"/>
        <v>1.2084484615593183</v>
      </c>
      <c r="F328" s="8">
        <f t="shared" si="112"/>
        <v>1.4360307170904594</v>
      </c>
      <c r="G328" s="8">
        <f t="shared" si="113"/>
        <v>0.05125603631042078</v>
      </c>
      <c r="H328" s="8">
        <f>G328</f>
        <v>0.05125603631042078</v>
      </c>
      <c r="I328" s="6">
        <v>1</v>
      </c>
      <c r="J328" s="7">
        <v>2</v>
      </c>
      <c r="K328" s="1">
        <v>1.724</v>
      </c>
      <c r="L328" s="6">
        <v>1</v>
      </c>
      <c r="M328" s="7">
        <v>0</v>
      </c>
      <c r="N328" s="6">
        <v>0</v>
      </c>
      <c r="O328" s="4">
        <f t="shared" si="114"/>
        <v>0.00860968396959032</v>
      </c>
      <c r="P328" s="7">
        <v>73</v>
      </c>
      <c r="Q328" s="10">
        <f t="shared" si="101"/>
        <v>0.002627181258255173</v>
      </c>
      <c r="R328" s="4">
        <f>(K328/100*0.000001)*2*PI()*E328/Q328</f>
        <v>4.982590845060313E-05</v>
      </c>
      <c r="S328" s="4">
        <f>O328+R328</f>
        <v>0.008659509878040922</v>
      </c>
      <c r="T328" s="4">
        <f>1/S328</f>
        <v>115.47997682130183</v>
      </c>
      <c r="U328" s="6">
        <f>1/SUM(T323:T328)*1000000</f>
        <v>1441.597448527804</v>
      </c>
      <c r="V328" t="s">
        <v>55</v>
      </c>
      <c r="Y328" t="s">
        <v>56</v>
      </c>
    </row>
  </sheetData>
  <printOptions gridLines="1"/>
  <pageMargins left="0.75" right="0.75" top="1" bottom="1" header="0.5" footer="0.5"/>
  <pageSetup fitToHeight="0" fitToWidth="1" orientation="landscape" scale="37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2009-06-11T14:46:59Z</dcterms:created>
  <cp:category/>
  <cp:version/>
  <cp:contentType/>
  <cp:contentStatus/>
</cp:coreProperties>
</file>