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80" yWindow="2540" windowWidth="9420" windowHeight="5960" tabRatio="500" activeTab="0"/>
  </bookViews>
  <sheets>
    <sheet name="NSTX PF Coils 4-14-97.xls" sheetId="1" r:id="rId1"/>
  </sheets>
  <definedNames>
    <definedName name="coeff">'NSTX PF Coils 4-14-97.xls'!$B$72</definedName>
    <definedName name="denscopper">'NSTX PF Coils 4-14-97.xls'!$B$70</definedName>
    <definedName name="densglidcop">'NSTX PF Coils 4-14-97.xls'!#REF!</definedName>
    <definedName name="efold">'NSTX PF Coils 4-14-97.xls'!#REF!</definedName>
    <definedName name="gzero">'NSTX PF Coils 4-14-97.xls'!$B$75</definedName>
    <definedName name="gzerooh">'NSTX PF Coils 4-14-97.xls'!$B$76</definedName>
    <definedName name="hzero">'NSTX PF Coils 4-14-97.xls'!$B$77</definedName>
    <definedName name="hzerooh">'NSTX PF Coils 4-14-97.xls'!$B$78</definedName>
    <definedName name="rescopper">'NSTX PF Coils 4-14-97.xls'!$B$69</definedName>
    <definedName name="resglidcop">'NSTX PF Coils 4-14-97.xls'!#REF!</definedName>
    <definedName name="shcopper">'NSTX PF Coils 4-14-97.xls'!$B$71</definedName>
    <definedName name="shglidcop">'NSTX PF Coils 4-14-97.xls'!#REF!</definedName>
    <definedName name="solver_adj" localSheetId="0" hidden="1">'NSTX PF Coils 4-14-97.xls'!$AW$16</definedName>
    <definedName name="solver_lin" localSheetId="0" hidden="1">0</definedName>
    <definedName name="solver_num" localSheetId="0" hidden="1">0</definedName>
    <definedName name="solver_opt" localSheetId="0" hidden="1">'NSTX PF Coils 4-14-97.xls'!$AV$16</definedName>
    <definedName name="solver_typ" localSheetId="0" hidden="1">3</definedName>
    <definedName name="solver_val" localSheetId="0" hidden="1">200</definedName>
    <definedName name="tinlet">'NSTX PF Coils 4-14-97.xls'!$B$73</definedName>
    <definedName name="tinletoh">'NSTX PF Coils 4-14-97.xls'!$B$74</definedName>
    <definedName name="tmax">'NSTX PF Coils 4-14-97.xls'!#REF!</definedName>
    <definedName name="trep">'NSTX PF Coils 4-14-97.xls'!$B$80</definedName>
    <definedName name="trepi">'NSTX PF Coils 4-14-97.xls'!$B$79</definedName>
  </definedNames>
  <calcPr fullCalcOnLoad="1"/>
</workbook>
</file>

<file path=xl/sharedStrings.xml><?xml version="1.0" encoding="utf-8"?>
<sst xmlns="http://schemas.openxmlformats.org/spreadsheetml/2006/main" count="461" uniqueCount="174">
  <si>
    <t>Note 4: Max turn-turn or layer-layer voltage/coil terminal voltage</t>
  </si>
  <si>
    <t>Parameter</t>
  </si>
  <si>
    <t>Value</t>
  </si>
  <si>
    <t>Units</t>
  </si>
  <si>
    <t>Resistivity (20C)</t>
  </si>
  <si>
    <t>Ω-cm</t>
  </si>
  <si>
    <t>Density</t>
  </si>
  <si>
    <t>gm/cc</t>
  </si>
  <si>
    <t>Specific Heat</t>
  </si>
  <si>
    <t>J/gm-degC</t>
  </si>
  <si>
    <t>Res Temp Coeff</t>
  </si>
  <si>
    <t>1/degC</t>
  </si>
  <si>
    <t>Initial  Temp</t>
  </si>
  <si>
    <t>degC</t>
  </si>
  <si>
    <t>Initial  Temp (OH)</t>
  </si>
  <si>
    <t>G(zero)</t>
  </si>
  <si>
    <t>G(zero) (OH)</t>
  </si>
  <si>
    <t>H(zero)</t>
  </si>
  <si>
    <t>Joule/m^3</t>
  </si>
  <si>
    <t>H(zero) (OH)</t>
  </si>
  <si>
    <t>Min Rep Period, Inductive</t>
  </si>
  <si>
    <t>Min Rep Period, Non-Inductive</t>
  </si>
  <si>
    <t>Coil</t>
  </si>
  <si>
    <t>Cnd Width</t>
  </si>
  <si>
    <t>Cnd Height</t>
  </si>
  <si>
    <t>Hole dia</t>
  </si>
  <si>
    <t>Hole Elongation</t>
  </si>
  <si>
    <t>Corner Rad</t>
  </si>
  <si>
    <t xml:space="preserve">Turn-Turn </t>
  </si>
  <si>
    <t>Layer-Layer</t>
  </si>
  <si>
    <t>Spaces/layer</t>
  </si>
  <si>
    <t>Turns/layer</t>
  </si>
  <si>
    <t>Layers</t>
  </si>
  <si>
    <t>D (inner)</t>
  </si>
  <si>
    <t>R (inner)</t>
  </si>
  <si>
    <t>R (center)</t>
  </si>
  <si>
    <t>∆R</t>
  </si>
  <si>
    <t>D (outer)</t>
  </si>
  <si>
    <t>Z (lower)</t>
  </si>
  <si>
    <t>Z (center)</t>
  </si>
  <si>
    <t>∆Z</t>
  </si>
  <si>
    <t>Turns</t>
  </si>
  <si>
    <t>CSA (bundle)</t>
  </si>
  <si>
    <t>CSA (turn)</t>
  </si>
  <si>
    <t>CSA (cond)</t>
  </si>
  <si>
    <t>Length (cond)</t>
  </si>
  <si>
    <t>Fill</t>
  </si>
  <si>
    <t>R(T0)</t>
  </si>
  <si>
    <t>Cp(20C)</t>
  </si>
  <si>
    <t>Ckt</t>
  </si>
  <si>
    <t>Coils</t>
  </si>
  <si>
    <t>Max Curr</t>
  </si>
  <si>
    <t>Max ESW</t>
  </si>
  <si>
    <t>Max ∫i^2(t)dt</t>
  </si>
  <si>
    <t>Max Ckt ∫i^2(t)dt</t>
  </si>
  <si>
    <t>Max ∫j^2(t)dt</t>
  </si>
  <si>
    <t>Tinitial</t>
  </si>
  <si>
    <t>Tfinal</t>
  </si>
  <si>
    <t>Wloss</t>
  </si>
  <si>
    <t>Avg Loss</t>
  </si>
  <si>
    <t>Hole Area</t>
  </si>
  <si>
    <t>Velocity</t>
  </si>
  <si>
    <t>Hyd Dia</t>
  </si>
  <si>
    <t>Reynolds No</t>
  </si>
  <si>
    <t>Friction</t>
  </si>
  <si>
    <t>Path Length</t>
  </si>
  <si>
    <t>∆P</t>
  </si>
  <si>
    <t>Flow/Path</t>
  </si>
  <si>
    <t>#Ckt</t>
  </si>
  <si>
    <t>Total Flow</t>
  </si>
  <si>
    <t>Rthermal</t>
  </si>
  <si>
    <t>Tau Thermal</t>
  </si>
  <si>
    <t>Vmax</t>
  </si>
  <si>
    <t>Stress Factor</t>
  </si>
  <si>
    <t>Emax</t>
  </si>
  <si>
    <t>Winding</t>
  </si>
  <si>
    <t>CSA</t>
  </si>
  <si>
    <t>Length</t>
  </si>
  <si>
    <t>Waste</t>
  </si>
  <si>
    <t>Overage</t>
  </si>
  <si>
    <t>Supplied Length</t>
  </si>
  <si>
    <t>Est Weight</t>
  </si>
  <si>
    <t>Qty w/1 spare</t>
  </si>
  <si>
    <t>Tot Weight</t>
  </si>
  <si>
    <t>(in)</t>
  </si>
  <si>
    <t>(in^2)</t>
  </si>
  <si>
    <t>Ω/coil</t>
  </si>
  <si>
    <t>Joule/degC</t>
  </si>
  <si>
    <t>Z&gt;0</t>
  </si>
  <si>
    <t>Ω/ckt</t>
  </si>
  <si>
    <t>kA</t>
  </si>
  <si>
    <t>sec</t>
  </si>
  <si>
    <t>Amp^2-sec</t>
  </si>
  <si>
    <t>(A/m^2)^2-sec</t>
  </si>
  <si>
    <t>deg C</t>
  </si>
  <si>
    <t>Joule</t>
  </si>
  <si>
    <t>Watt</t>
  </si>
  <si>
    <t>cm^2</t>
  </si>
  <si>
    <t>cm/sec</t>
  </si>
  <si>
    <t>cm</t>
  </si>
  <si>
    <t>N-sec/m^2</t>
  </si>
  <si>
    <t>Factor</t>
  </si>
  <si>
    <t>m</t>
  </si>
  <si>
    <t>PSI</t>
  </si>
  <si>
    <t>GPM</t>
  </si>
  <si>
    <t>degC/watt</t>
  </si>
  <si>
    <t>(V)</t>
  </si>
  <si>
    <t>(V/mil)</t>
  </si>
  <si>
    <t>(ft)</t>
  </si>
  <si>
    <t>(%)</t>
  </si>
  <si>
    <t>(lbs)</t>
  </si>
  <si>
    <t xml:space="preserve"> </t>
  </si>
  <si>
    <t>Note 1</t>
  </si>
  <si>
    <t>Note 2</t>
  </si>
  <si>
    <t>Note 4</t>
  </si>
  <si>
    <t>Note 5</t>
  </si>
  <si>
    <t>Note 6</t>
  </si>
  <si>
    <t>OH1XU</t>
  </si>
  <si>
    <t>OH1X</t>
  </si>
  <si>
    <t>OH1XL</t>
  </si>
  <si>
    <t>OH1Y</t>
  </si>
  <si>
    <t>OH1YU</t>
  </si>
  <si>
    <t>OH2X</t>
  </si>
  <si>
    <t>OH1YL</t>
  </si>
  <si>
    <t>OH2Y</t>
  </si>
  <si>
    <t>OH2XU</t>
  </si>
  <si>
    <t>OH3X</t>
  </si>
  <si>
    <t>OH2XL</t>
  </si>
  <si>
    <t>OH3Y</t>
  </si>
  <si>
    <t>OH2YU</t>
  </si>
  <si>
    <t>OH4X</t>
  </si>
  <si>
    <t>OH2YL</t>
  </si>
  <si>
    <t>OH4Y</t>
  </si>
  <si>
    <t>OH3XU</t>
  </si>
  <si>
    <t>PF1a</t>
  </si>
  <si>
    <t>OH3XL</t>
  </si>
  <si>
    <t>PF1b</t>
  </si>
  <si>
    <t>OH3YU</t>
  </si>
  <si>
    <t>OH3YL</t>
  </si>
  <si>
    <t>Tot Wt</t>
  </si>
  <si>
    <t>lbs</t>
  </si>
  <si>
    <t>OH4XU</t>
  </si>
  <si>
    <t>OH4XL</t>
  </si>
  <si>
    <t>OH4YU</t>
  </si>
  <si>
    <t>OH4YL</t>
  </si>
  <si>
    <t>OH</t>
  </si>
  <si>
    <t>∑OH (Note 3)</t>
  </si>
  <si>
    <t>2,3</t>
  </si>
  <si>
    <t>PF1a(u), PF1a(l)</t>
  </si>
  <si>
    <t>PF2a</t>
  </si>
  <si>
    <t>PF2b</t>
  </si>
  <si>
    <t>5,6</t>
  </si>
  <si>
    <t>PF2(au+bu), PF2(al+bl)</t>
  </si>
  <si>
    <t>PF3a (S1-2a,b)</t>
  </si>
  <si>
    <t>PF3b (S1-2a,b)</t>
  </si>
  <si>
    <t>7,8</t>
  </si>
  <si>
    <t>PF3(au+bu), PF3(al+bl)</t>
  </si>
  <si>
    <t>PF4a (S1-3a)</t>
  </si>
  <si>
    <t>PF4b (S1-3b)</t>
  </si>
  <si>
    <t>PF4c (S1-3c)</t>
  </si>
  <si>
    <t>PF4(au+al+bu+bl+cu+cl)</t>
  </si>
  <si>
    <t xml:space="preserve">  </t>
  </si>
  <si>
    <t>Turn-Turn</t>
  </si>
  <si>
    <t>∑Loss Ind</t>
  </si>
  <si>
    <t>Total</t>
  </si>
  <si>
    <t>(cm)</t>
  </si>
  <si>
    <t>(cm^2)</t>
  </si>
  <si>
    <t>∑Loss Part Ind</t>
  </si>
  <si>
    <t>∑Loss Non-Ind</t>
  </si>
  <si>
    <t>Note 1: All dim's conductor to conductor</t>
  </si>
  <si>
    <t>Note 2: Dims Insulation to Insulation</t>
  </si>
  <si>
    <t>Note 3: Lumped average OH Coil</t>
  </si>
  <si>
    <t>Note 4: U and L parts of OH in series</t>
  </si>
  <si>
    <t>Note 5: Coil terminal voltage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</si>
</sst>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000"/>
    <numFmt numFmtId="166" formatCode="0.0"/>
    <numFmt numFmtId="167" formatCode="0.00000"/>
    <numFmt numFmtId="168" formatCode="0.000"/>
  </numFmts>
  <fonts count="7">
    <font>
      <sz val="10"/>
      <name val="Times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0"/>
      <name val="Times"/>
      <family val="0"/>
    </font>
    <font>
      <sz val="10"/>
      <name val="Palatino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11" fontId="0" fillId="0" borderId="0" xfId="0" applyNumberFormat="1" applyFont="1" applyAlignment="1">
      <alignment/>
    </xf>
    <xf numFmtId="0" fontId="0" fillId="0" borderId="0" xfId="0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/>
      <protection/>
    </xf>
    <xf numFmtId="16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65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" fontId="0" fillId="0" borderId="0" xfId="0" applyNumberFormat="1" applyFont="1" applyAlignment="1" applyProtection="1">
      <alignment/>
      <protection/>
    </xf>
    <xf numFmtId="165" fontId="0" fillId="0" borderId="0" xfId="0" applyNumberFormat="1" applyFont="1" applyBorder="1" applyAlignment="1" applyProtection="1">
      <alignment/>
      <protection locked="0"/>
    </xf>
    <xf numFmtId="166" fontId="0" fillId="0" borderId="0" xfId="0" applyNumberFormat="1" applyFont="1" applyBorder="1" applyAlignment="1" applyProtection="1">
      <alignment/>
      <protection locked="0"/>
    </xf>
    <xf numFmtId="165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166" fontId="0" fillId="0" borderId="0" xfId="0" applyNumberFormat="1" applyFont="1" applyBorder="1" applyAlignment="1">
      <alignment/>
    </xf>
    <xf numFmtId="165" fontId="0" fillId="0" borderId="1" xfId="0" applyNumberFormat="1" applyFont="1" applyBorder="1" applyAlignment="1" applyProtection="1">
      <alignment/>
      <protection locked="0"/>
    </xf>
    <xf numFmtId="166" fontId="0" fillId="0" borderId="1" xfId="0" applyNumberFormat="1" applyFont="1" applyBorder="1" applyAlignment="1" applyProtection="1">
      <alignment/>
      <protection locked="0"/>
    </xf>
    <xf numFmtId="1" fontId="0" fillId="0" borderId="1" xfId="0" applyNumberFormat="1" applyFont="1" applyBorder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 applyProtection="1">
      <alignment horizontal="center"/>
      <protection/>
    </xf>
    <xf numFmtId="164" fontId="0" fillId="0" borderId="0" xfId="0" applyNumberFormat="1" applyFont="1" applyAlignment="1">
      <alignment horizontal="center"/>
    </xf>
    <xf numFmtId="11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/>
    </xf>
    <xf numFmtId="165" fontId="5" fillId="0" borderId="0" xfId="0" applyNumberFormat="1" applyFont="1" applyAlignment="1">
      <alignment/>
    </xf>
    <xf numFmtId="164" fontId="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166" fontId="0" fillId="0" borderId="0" xfId="0" applyNumberFormat="1" applyFont="1" applyAlignment="1">
      <alignment horizontal="center"/>
    </xf>
    <xf numFmtId="166" fontId="6" fillId="0" borderId="0" xfId="0" applyNumberFormat="1" applyFont="1" applyAlignment="1">
      <alignment/>
    </xf>
    <xf numFmtId="165" fontId="0" fillId="0" borderId="0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11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1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centerContinuous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right"/>
    </xf>
    <xf numFmtId="11" fontId="0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Font="1" applyBorder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/>
    </xf>
    <xf numFmtId="1" fontId="0" fillId="0" borderId="1" xfId="0" applyNumberFormat="1" applyFont="1" applyBorder="1" applyAlignment="1" applyProtection="1">
      <alignment/>
      <protection/>
    </xf>
    <xf numFmtId="168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166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91"/>
  <sheetViews>
    <sheetView tabSelected="1" workbookViewId="0" topLeftCell="A1">
      <pane xSplit="1800" topLeftCell="U1" activePane="topRight" state="split"/>
      <selection pane="topLeft" activeCell="A50" sqref="A50:IV50"/>
      <selection pane="topRight" activeCell="U1" sqref="U1:U16384"/>
    </sheetView>
  </sheetViews>
  <sheetFormatPr defaultColWidth="11.00390625" defaultRowHeight="12.75"/>
  <cols>
    <col min="1" max="1" width="34.00390625" style="1" customWidth="1"/>
    <col min="2" max="2" width="10.00390625" style="33" customWidth="1"/>
    <col min="3" max="3" width="12.375" style="33" customWidth="1"/>
    <col min="4" max="4" width="8.00390625" style="33" customWidth="1"/>
    <col min="5" max="5" width="14.625" style="33" customWidth="1"/>
    <col min="6" max="6" width="10.375" style="33" customWidth="1"/>
    <col min="7" max="7" width="10.25390625" style="33" customWidth="1"/>
    <col min="8" max="8" width="10.75390625" style="33" customWidth="1"/>
    <col min="9" max="9" width="11.25390625" style="46" customWidth="1"/>
    <col min="10" max="10" width="10.375" style="30" customWidth="1"/>
    <col min="11" max="11" width="6.625" style="30" customWidth="1"/>
    <col min="12" max="13" width="9.00390625" style="33" customWidth="1"/>
    <col min="14" max="14" width="9.25390625" style="33" customWidth="1"/>
    <col min="15" max="15" width="8.00390625" style="33" customWidth="1"/>
    <col min="16" max="20" width="9.00390625" style="33" customWidth="1"/>
    <col min="21" max="21" width="7.00390625" style="30" customWidth="1"/>
    <col min="22" max="22" width="12.375" style="33" customWidth="1"/>
    <col min="23" max="23" width="10.375" style="33" customWidth="1"/>
    <col min="24" max="24" width="10.75390625" style="33" customWidth="1"/>
    <col min="25" max="25" width="12.375" style="32" customWidth="1"/>
    <col min="26" max="26" width="7.00390625" style="33" customWidth="1"/>
    <col min="27" max="27" width="9.75390625" style="32" customWidth="1"/>
    <col min="28" max="28" width="10.375" style="1" customWidth="1"/>
    <col min="29" max="29" width="4.375" style="30" customWidth="1"/>
    <col min="30" max="30" width="22.00390625" style="32" customWidth="1"/>
    <col min="31" max="31" width="6.00390625" style="1" customWidth="1"/>
    <col min="32" max="32" width="9.75390625" style="1" customWidth="1"/>
    <col min="33" max="33" width="9.25390625" style="1" customWidth="1"/>
    <col min="34" max="34" width="9.75390625" style="1" customWidth="1"/>
    <col min="35" max="35" width="11.625" style="1" customWidth="1"/>
    <col min="36" max="36" width="15.25390625" style="2" customWidth="1"/>
    <col min="37" max="37" width="12.375" style="2" customWidth="1"/>
    <col min="38" max="38" width="7.375" style="35" customWidth="1"/>
    <col min="39" max="39" width="13.625" style="1" customWidth="1"/>
    <col min="40" max="42" width="9.375" style="1" customWidth="1"/>
    <col min="43" max="43" width="8.25390625" style="35" customWidth="1"/>
    <col min="44" max="44" width="8.00390625" style="1" customWidth="1"/>
    <col min="45" max="45" width="11.75390625" style="1" customWidth="1"/>
    <col min="46" max="46" width="7.75390625" style="1" customWidth="1"/>
    <col min="47" max="47" width="11.25390625" style="35" customWidth="1"/>
    <col min="48" max="48" width="6.00390625" style="35" customWidth="1"/>
    <col min="49" max="49" width="9.75390625" style="1" customWidth="1"/>
    <col min="50" max="50" width="5.375" style="30" customWidth="1"/>
    <col min="51" max="51" width="10.375" style="1" customWidth="1"/>
    <col min="52" max="52" width="9.375" style="1" customWidth="1"/>
    <col min="53" max="53" width="11.625" style="1" customWidth="1"/>
    <col min="54" max="54" width="7.00390625" style="1" customWidth="1"/>
    <col min="55" max="55" width="11.75390625" style="47" customWidth="1"/>
    <col min="56" max="56" width="7.375" style="35" customWidth="1"/>
    <col min="57" max="63" width="11.00390625" style="1" customWidth="1"/>
    <col min="64" max="64" width="10.375" style="1" customWidth="1"/>
    <col min="65" max="65" width="12.625" style="1" customWidth="1"/>
    <col min="66" max="66" width="12.375" style="35" customWidth="1"/>
    <col min="67" max="16384" width="11.00390625" style="1" customWidth="1"/>
  </cols>
  <sheetData>
    <row r="1" spans="1:66" s="7" customFormat="1" ht="12">
      <c r="A1" s="3" t="s">
        <v>22</v>
      </c>
      <c r="B1" s="4" t="s">
        <v>23</v>
      </c>
      <c r="C1" s="4" t="s">
        <v>24</v>
      </c>
      <c r="D1" s="4" t="s">
        <v>25</v>
      </c>
      <c r="E1" s="4" t="s">
        <v>26</v>
      </c>
      <c r="F1" s="4" t="s">
        <v>27</v>
      </c>
      <c r="G1" s="4" t="s">
        <v>28</v>
      </c>
      <c r="H1" s="4" t="s">
        <v>29</v>
      </c>
      <c r="I1" s="36" t="s">
        <v>30</v>
      </c>
      <c r="J1" s="5" t="s">
        <v>31</v>
      </c>
      <c r="K1" s="5" t="s">
        <v>32</v>
      </c>
      <c r="L1" s="4" t="s">
        <v>33</v>
      </c>
      <c r="M1" s="4" t="s">
        <v>34</v>
      </c>
      <c r="N1" s="4" t="s">
        <v>35</v>
      </c>
      <c r="O1" s="4" t="s">
        <v>36</v>
      </c>
      <c r="P1" s="4" t="s">
        <v>37</v>
      </c>
      <c r="Q1" s="4" t="s">
        <v>38</v>
      </c>
      <c r="R1" s="4" t="s">
        <v>39</v>
      </c>
      <c r="S1" s="4" t="s">
        <v>40</v>
      </c>
      <c r="T1" s="4" t="str">
        <f>S1</f>
        <v>∆Z</v>
      </c>
      <c r="U1" s="5" t="s">
        <v>41</v>
      </c>
      <c r="V1" s="4" t="s">
        <v>42</v>
      </c>
      <c r="W1" s="4" t="s">
        <v>43</v>
      </c>
      <c r="X1" s="4" t="s">
        <v>44</v>
      </c>
      <c r="Y1" s="6" t="s">
        <v>45</v>
      </c>
      <c r="Z1" s="4" t="s">
        <v>46</v>
      </c>
      <c r="AA1" s="6" t="s">
        <v>47</v>
      </c>
      <c r="AB1" s="7" t="s">
        <v>48</v>
      </c>
      <c r="AC1" s="8" t="s">
        <v>49</v>
      </c>
      <c r="AD1" s="6" t="s">
        <v>50</v>
      </c>
      <c r="AE1" s="7" t="s">
        <v>41</v>
      </c>
      <c r="AF1" s="7" t="s">
        <v>47</v>
      </c>
      <c r="AG1" s="7" t="s">
        <v>51</v>
      </c>
      <c r="AH1" s="7" t="s">
        <v>52</v>
      </c>
      <c r="AI1" s="7" t="s">
        <v>53</v>
      </c>
      <c r="AJ1" s="38" t="s">
        <v>54</v>
      </c>
      <c r="AK1" s="38" t="s">
        <v>55</v>
      </c>
      <c r="AL1" s="44" t="s">
        <v>56</v>
      </c>
      <c r="AM1" s="7" t="s">
        <v>57</v>
      </c>
      <c r="AN1" s="7" t="s">
        <v>58</v>
      </c>
      <c r="AO1" s="7" t="s">
        <v>59</v>
      </c>
      <c r="AP1" s="7" t="s">
        <v>60</v>
      </c>
      <c r="AQ1" s="44" t="s">
        <v>61</v>
      </c>
      <c r="AR1" s="7" t="s">
        <v>62</v>
      </c>
      <c r="AS1" s="7" t="s">
        <v>63</v>
      </c>
      <c r="AT1" s="7" t="s">
        <v>64</v>
      </c>
      <c r="AU1" s="44" t="s">
        <v>65</v>
      </c>
      <c r="AV1" s="44" t="s">
        <v>66</v>
      </c>
      <c r="AW1" s="7" t="s">
        <v>67</v>
      </c>
      <c r="AX1" s="8" t="s">
        <v>68</v>
      </c>
      <c r="AY1" s="7" t="s">
        <v>69</v>
      </c>
      <c r="AZ1" s="7" t="s">
        <v>70</v>
      </c>
      <c r="BA1" s="7" t="s">
        <v>71</v>
      </c>
      <c r="BB1" s="7" t="s">
        <v>72</v>
      </c>
      <c r="BC1" s="61" t="s">
        <v>73</v>
      </c>
      <c r="BD1" s="44" t="s">
        <v>74</v>
      </c>
      <c r="BF1" s="7" t="s">
        <v>75</v>
      </c>
      <c r="BG1" s="7" t="s">
        <v>76</v>
      </c>
      <c r="BH1" s="7" t="s">
        <v>77</v>
      </c>
      <c r="BI1" s="7" t="s">
        <v>78</v>
      </c>
      <c r="BJ1" s="7" t="s">
        <v>79</v>
      </c>
      <c r="BK1" s="7" t="s">
        <v>80</v>
      </c>
      <c r="BL1" s="7" t="s">
        <v>81</v>
      </c>
      <c r="BM1" s="7" t="s">
        <v>82</v>
      </c>
      <c r="BN1" s="44" t="s">
        <v>83</v>
      </c>
    </row>
    <row r="2" spans="1:66" s="7" customFormat="1" ht="12.75">
      <c r="A2" s="3"/>
      <c r="B2" s="4" t="s">
        <v>84</v>
      </c>
      <c r="C2" s="4" t="s">
        <v>84</v>
      </c>
      <c r="D2" s="4" t="s">
        <v>84</v>
      </c>
      <c r="E2" s="4" t="s">
        <v>84</v>
      </c>
      <c r="F2" s="4" t="s">
        <v>84</v>
      </c>
      <c r="G2" s="4" t="s">
        <v>84</v>
      </c>
      <c r="H2" s="4" t="s">
        <v>84</v>
      </c>
      <c r="I2" s="36"/>
      <c r="J2" s="5"/>
      <c r="K2" s="5"/>
      <c r="L2" s="4" t="s">
        <v>84</v>
      </c>
      <c r="M2" s="4" t="s">
        <v>84</v>
      </c>
      <c r="N2" s="4" t="s">
        <v>84</v>
      </c>
      <c r="O2" s="4" t="s">
        <v>84</v>
      </c>
      <c r="P2" s="4" t="s">
        <v>84</v>
      </c>
      <c r="Q2" s="4" t="s">
        <v>84</v>
      </c>
      <c r="R2" s="4" t="s">
        <v>84</v>
      </c>
      <c r="S2" s="4" t="s">
        <v>84</v>
      </c>
      <c r="T2" s="4" t="str">
        <f>S2</f>
        <v>(in)</v>
      </c>
      <c r="U2" s="5"/>
      <c r="V2" s="4" t="s">
        <v>85</v>
      </c>
      <c r="W2" s="4" t="s">
        <v>85</v>
      </c>
      <c r="X2" s="4" t="s">
        <v>85</v>
      </c>
      <c r="Y2" s="6" t="s">
        <v>84</v>
      </c>
      <c r="Z2" s="4"/>
      <c r="AA2" s="6" t="s">
        <v>86</v>
      </c>
      <c r="AB2" s="7" t="s">
        <v>87</v>
      </c>
      <c r="AC2" s="8"/>
      <c r="AD2" s="6"/>
      <c r="AE2" s="7" t="s">
        <v>88</v>
      </c>
      <c r="AF2" s="7" t="s">
        <v>89</v>
      </c>
      <c r="AG2" s="7" t="s">
        <v>90</v>
      </c>
      <c r="AH2" s="7" t="s">
        <v>91</v>
      </c>
      <c r="AI2" s="49" t="s">
        <v>92</v>
      </c>
      <c r="AJ2" s="38" t="s">
        <v>92</v>
      </c>
      <c r="AK2" s="55" t="s">
        <v>93</v>
      </c>
      <c r="AL2" s="65" t="s">
        <v>94</v>
      </c>
      <c r="AM2" s="50" t="s">
        <v>94</v>
      </c>
      <c r="AN2" s="37" t="s">
        <v>95</v>
      </c>
      <c r="AO2" s="37" t="s">
        <v>96</v>
      </c>
      <c r="AP2" s="7" t="s">
        <v>97</v>
      </c>
      <c r="AQ2" s="45" t="s">
        <v>98</v>
      </c>
      <c r="AR2" s="7" t="s">
        <v>99</v>
      </c>
      <c r="AS2" s="7" t="s">
        <v>100</v>
      </c>
      <c r="AT2" s="7" t="s">
        <v>101</v>
      </c>
      <c r="AU2" s="44" t="s">
        <v>102</v>
      </c>
      <c r="AV2" s="44" t="s">
        <v>103</v>
      </c>
      <c r="AW2" s="7" t="s">
        <v>104</v>
      </c>
      <c r="AX2" s="8"/>
      <c r="AY2" s="7" t="s">
        <v>104</v>
      </c>
      <c r="AZ2" s="7" t="s">
        <v>105</v>
      </c>
      <c r="BA2" s="7" t="s">
        <v>91</v>
      </c>
      <c r="BB2" s="7" t="s">
        <v>106</v>
      </c>
      <c r="BC2" s="61"/>
      <c r="BD2" s="44" t="s">
        <v>107</v>
      </c>
      <c r="BG2" s="7" t="s">
        <v>85</v>
      </c>
      <c r="BH2" s="7" t="s">
        <v>108</v>
      </c>
      <c r="BI2" s="7" t="s">
        <v>108</v>
      </c>
      <c r="BJ2" s="7" t="s">
        <v>109</v>
      </c>
      <c r="BK2" s="7" t="s">
        <v>108</v>
      </c>
      <c r="BL2" s="7" t="s">
        <v>110</v>
      </c>
      <c r="BN2" s="44" t="s">
        <v>110</v>
      </c>
    </row>
    <row r="3" spans="1:66" s="7" customFormat="1" ht="12">
      <c r="A3" s="3"/>
      <c r="B3" s="4" t="s">
        <v>111</v>
      </c>
      <c r="C3" s="4"/>
      <c r="D3" s="4"/>
      <c r="E3" s="4"/>
      <c r="F3" s="4"/>
      <c r="G3" s="4" t="s">
        <v>112</v>
      </c>
      <c r="H3" s="4" t="s">
        <v>112</v>
      </c>
      <c r="I3" s="36"/>
      <c r="J3" s="5"/>
      <c r="K3" s="5"/>
      <c r="L3" s="4" t="s">
        <v>112</v>
      </c>
      <c r="M3" s="4" t="s">
        <v>112</v>
      </c>
      <c r="N3" s="4"/>
      <c r="O3" s="4" t="s">
        <v>112</v>
      </c>
      <c r="P3" s="4" t="s">
        <v>112</v>
      </c>
      <c r="Q3" s="4" t="s">
        <v>112</v>
      </c>
      <c r="R3" s="4"/>
      <c r="S3" s="4" t="s">
        <v>112</v>
      </c>
      <c r="T3" s="4" t="s">
        <v>113</v>
      </c>
      <c r="U3" s="5" t="s">
        <v>111</v>
      </c>
      <c r="V3" s="4"/>
      <c r="W3" s="4"/>
      <c r="X3" s="4"/>
      <c r="Y3" s="6"/>
      <c r="Z3" s="4"/>
      <c r="AA3" s="6"/>
      <c r="AC3" s="8"/>
      <c r="AD3" s="6"/>
      <c r="AJ3" s="38"/>
      <c r="AK3" s="2"/>
      <c r="AL3" s="35"/>
      <c r="AM3" s="1"/>
      <c r="AN3" s="1"/>
      <c r="AO3" s="1"/>
      <c r="AQ3" s="44"/>
      <c r="AR3" s="40"/>
      <c r="AU3" s="44"/>
      <c r="AV3" s="44"/>
      <c r="AX3" s="8"/>
      <c r="BA3" s="7" t="s">
        <v>114</v>
      </c>
      <c r="BB3" s="7" t="s">
        <v>115</v>
      </c>
      <c r="BC3" s="61" t="s">
        <v>116</v>
      </c>
      <c r="BD3" s="44"/>
      <c r="BN3" s="44"/>
    </row>
    <row r="4" spans="1:66" ht="12">
      <c r="A4" s="14" t="s">
        <v>117</v>
      </c>
      <c r="B4" s="24">
        <v>0.394</v>
      </c>
      <c r="C4" s="24">
        <v>0.63</v>
      </c>
      <c r="D4" s="24">
        <v>0.188</v>
      </c>
      <c r="E4" s="24">
        <v>0</v>
      </c>
      <c r="F4" s="24">
        <v>0.039</v>
      </c>
      <c r="G4" s="24">
        <v>0.064</v>
      </c>
      <c r="H4" s="24">
        <v>0.064</v>
      </c>
      <c r="I4" s="24">
        <v>122.8761</v>
      </c>
      <c r="J4" s="15">
        <f aca="true" t="shared" si="0" ref="J4:J19">(I4-1/2)/2</f>
        <v>61.18805</v>
      </c>
      <c r="K4" s="26">
        <v>1</v>
      </c>
      <c r="L4" s="15">
        <f aca="true" t="shared" si="1" ref="L4:L22">2*M4</f>
        <v>8.616</v>
      </c>
      <c r="M4" s="24">
        <v>4.308</v>
      </c>
      <c r="N4" s="28">
        <f aca="true" t="shared" si="2" ref="N4:N29">L4/2+O4/2</f>
        <v>4.505</v>
      </c>
      <c r="O4" s="28">
        <f aca="true" t="shared" si="3" ref="O4:O29">K4*B4+(K4-1)*H4</f>
        <v>0.394</v>
      </c>
      <c r="P4" s="28">
        <f aca="true" t="shared" si="4" ref="P4:P29">L4+2*O4</f>
        <v>9.404</v>
      </c>
      <c r="Q4" s="24">
        <v>0</v>
      </c>
      <c r="R4" s="28">
        <f aca="true" t="shared" si="5" ref="R4:R29">Q4+S4/2</f>
        <v>42.6060067</v>
      </c>
      <c r="S4" s="17">
        <f aca="true" t="shared" si="6" ref="S4:S29">I4*(C4+G4)-G4</f>
        <v>85.2120134</v>
      </c>
      <c r="T4" s="4">
        <f aca="true" t="shared" si="7" ref="T4:T20">S4+G4/2</f>
        <v>85.2440134</v>
      </c>
      <c r="U4" s="59">
        <f aca="true" t="shared" si="8" ref="U4:U22">J4*K4</f>
        <v>61.18805</v>
      </c>
      <c r="V4" s="17">
        <f aca="true" t="shared" si="9" ref="V4:V29">O4*S4</f>
        <v>33.5735332796</v>
      </c>
      <c r="W4" s="17">
        <f aca="true" t="shared" si="10" ref="W4:W29">B4*C4-PI()*D4^2/4-E4*D4-((2*F4)^2-PI()*F4^2)</f>
        <v>0.21915524973899067</v>
      </c>
      <c r="X4" s="17">
        <f aca="true" t="shared" si="11" ref="X4:X29">U4*W4</f>
        <v>13.409682378791848</v>
      </c>
      <c r="Y4" s="18">
        <f aca="true" t="shared" si="12" ref="Y4:Y29">2*PI()*N4*U4</f>
        <v>1731.9736345910392</v>
      </c>
      <c r="Z4" s="17">
        <f aca="true" t="shared" si="13" ref="Z4:Z29">X4/V4</f>
        <v>0.39941230692391433</v>
      </c>
      <c r="AA4" s="18">
        <f aca="true" t="shared" si="14" ref="AA4:AA29">AA34</f>
        <v>0.005144125438379794</v>
      </c>
      <c r="AB4" s="19">
        <f aca="true" t="shared" si="15" ref="AB4:AB29">2*PI()*N4*X4*2.54^3*denscopper*shcopper</f>
        <v>21464.418546439127</v>
      </c>
      <c r="AC4" s="20" t="s">
        <v>111</v>
      </c>
      <c r="AD4" s="18" t="s">
        <v>111</v>
      </c>
      <c r="AE4" s="20" t="s">
        <v>111</v>
      </c>
      <c r="AF4" s="19"/>
      <c r="AG4" s="23">
        <v>24</v>
      </c>
      <c r="AH4" s="63">
        <v>0.525</v>
      </c>
      <c r="AI4" s="19">
        <f aca="true" t="shared" si="16" ref="AI4:AI29">(AG4*1000)^2*AH4</f>
        <v>302400000</v>
      </c>
      <c r="AJ4" s="48" t="s">
        <v>111</v>
      </c>
      <c r="AK4" s="48">
        <f aca="true" t="shared" si="17" ref="AK4:AK29">AI4/(W34/100/100)^2</f>
        <v>15126664114914342</v>
      </c>
      <c r="AL4" s="23">
        <f aca="true" t="shared" si="18" ref="AL4:AL20">tinletoh</f>
        <v>10</v>
      </c>
      <c r="AM4" s="23">
        <f aca="true" t="shared" si="19" ref="AM4:AM20">0.13608+0.0000000000000045496*(gzerooh+AK4)+5.3309E-32*(gzerooh+AK4)^2</f>
        <v>94.50693825942304</v>
      </c>
      <c r="AN4" s="48">
        <f aca="true" t="shared" si="20" ref="AN4:AN20">(-1118300+3486200*AM4-hzerooh)*2*PI()*N34/100*X34/100/100</f>
        <v>1832478.8490432738</v>
      </c>
      <c r="AO4" s="48">
        <f aca="true" t="shared" si="21" ref="AO4:AO20">AN4/trepi</f>
        <v>3054.131415072123</v>
      </c>
      <c r="AP4" s="46">
        <f aca="true" t="shared" si="22" ref="AP4:AP29">(PI()*D34^2/4+D34*E34)</f>
        <v>0.1790906914122196</v>
      </c>
      <c r="AQ4" s="23">
        <f aca="true" t="shared" si="23" ref="AQ4:AQ29">AW4*231*2.54^3/60/AP4</f>
        <v>225.45965609715086</v>
      </c>
      <c r="AR4" s="33">
        <f aca="true" t="shared" si="24" ref="AR4:AR29">4*AP4/(PI()*D34+2*E34)</f>
        <v>0.47752</v>
      </c>
      <c r="AS4" s="35">
        <f aca="true" t="shared" si="25" ref="AS4:AS29">1000*AR4/100*AQ4/100/0.001</f>
        <v>10766.149497951146</v>
      </c>
      <c r="AT4" s="47">
        <f aca="true" t="shared" si="26" ref="AT4:AT29">IF(AS4&lt;30000,0.316/AS4^0.25,0.184/AS4^0.2)</f>
        <v>0.031022156261266927</v>
      </c>
      <c r="AU4" s="35">
        <f aca="true" t="shared" si="27" ref="AU4:AU19">Y34/100</f>
        <v>43.992130318612396</v>
      </c>
      <c r="AV4" s="35">
        <f aca="true" t="shared" si="28" ref="AV4:AV29">AT4*AU4*100/AR4*1000*(AQ4/100)^2/2/6895</f>
        <v>105.3486131266128</v>
      </c>
      <c r="AW4" s="12">
        <v>0.64</v>
      </c>
      <c r="AX4" s="20">
        <v>1</v>
      </c>
      <c r="AY4" s="23">
        <f aca="true" t="shared" si="29" ref="AY4:AY29">AW4*AX4</f>
        <v>0.64</v>
      </c>
      <c r="AZ4" s="48">
        <f aca="true" t="shared" si="30" ref="AZ4:AZ29">1/264/AW4</f>
        <v>0.005918560606060606</v>
      </c>
      <c r="BA4" s="23">
        <f>(AB4+AB5)*AZ4</f>
        <v>254.3341649229961</v>
      </c>
      <c r="BB4" s="35">
        <f aca="true" t="shared" si="31" ref="BB4:BB20">6*1012.85</f>
        <v>6077.1</v>
      </c>
      <c r="BC4" s="47">
        <v>0.505</v>
      </c>
      <c r="BD4" s="35">
        <f aca="true" t="shared" si="32" ref="BD4:BD29">BB4*BC4/(H4*1000)</f>
        <v>47.9521171875</v>
      </c>
      <c r="BE4" s="1" t="s">
        <v>111</v>
      </c>
      <c r="BF4" s="1" t="s">
        <v>118</v>
      </c>
      <c r="BG4" s="33">
        <f>W4</f>
        <v>0.21915524973899067</v>
      </c>
      <c r="BH4" s="35">
        <f>2*PI()*N4/12*(U4+U5)</f>
        <v>288.9545292986162</v>
      </c>
      <c r="BI4" s="35">
        <f aca="true" t="shared" si="33" ref="BI4:BI13">BK4-BH4</f>
        <v>30.045470701383806</v>
      </c>
      <c r="BJ4" s="35">
        <f aca="true" t="shared" si="34" ref="BJ4:BJ13">(BK4/BH4-1)*100</f>
        <v>10.397992644141496</v>
      </c>
      <c r="BK4" s="35">
        <v>319</v>
      </c>
      <c r="BL4" s="35">
        <f aca="true" t="shared" si="35" ref="BL4:BL13">BG4*BK4*12*2.54^3*denscopper/1000*2.205</f>
        <v>271.0011101499037</v>
      </c>
      <c r="BM4" s="1">
        <v>2</v>
      </c>
      <c r="BN4" s="35">
        <f aca="true" t="shared" si="36" ref="BN4:BN13">BL4*BM4</f>
        <v>542.0022202998074</v>
      </c>
    </row>
    <row r="5" spans="1:66" ht="12">
      <c r="A5" s="14" t="s">
        <v>119</v>
      </c>
      <c r="B5" s="24">
        <v>0.394</v>
      </c>
      <c r="C5" s="24">
        <v>0.63</v>
      </c>
      <c r="D5" s="24">
        <v>0.188</v>
      </c>
      <c r="E5" s="24">
        <v>0</v>
      </c>
      <c r="F5" s="24">
        <v>0.039</v>
      </c>
      <c r="G5" s="24">
        <v>0.064</v>
      </c>
      <c r="H5" s="24">
        <v>0.064</v>
      </c>
      <c r="I5" s="24">
        <v>123.1239</v>
      </c>
      <c r="J5" s="15">
        <f t="shared" si="0"/>
        <v>61.31195</v>
      </c>
      <c r="K5" s="26">
        <v>1</v>
      </c>
      <c r="L5" s="15">
        <f t="shared" si="1"/>
        <v>8.616</v>
      </c>
      <c r="M5" s="24">
        <v>4.308</v>
      </c>
      <c r="N5" s="28">
        <f t="shared" si="2"/>
        <v>4.505</v>
      </c>
      <c r="O5" s="28">
        <f t="shared" si="3"/>
        <v>0.394</v>
      </c>
      <c r="P5" s="28">
        <f t="shared" si="4"/>
        <v>9.404</v>
      </c>
      <c r="Q5" s="24">
        <v>0</v>
      </c>
      <c r="R5" s="28">
        <f t="shared" si="5"/>
        <v>42.6919933</v>
      </c>
      <c r="S5" s="17">
        <f t="shared" si="6"/>
        <v>85.3839866</v>
      </c>
      <c r="T5" s="4">
        <f t="shared" si="7"/>
        <v>85.4159866</v>
      </c>
      <c r="U5" s="59">
        <f t="shared" si="8"/>
        <v>61.31195</v>
      </c>
      <c r="V5" s="17">
        <f t="shared" si="9"/>
        <v>33.6412907204</v>
      </c>
      <c r="W5" s="17">
        <f t="shared" si="10"/>
        <v>0.21915524973899067</v>
      </c>
      <c r="X5" s="17">
        <f t="shared" si="11"/>
        <v>13.43683571423451</v>
      </c>
      <c r="Y5" s="18">
        <f t="shared" si="12"/>
        <v>1735.4807169923552</v>
      </c>
      <c r="Z5" s="17">
        <f t="shared" si="13"/>
        <v>0.3994149875494059</v>
      </c>
      <c r="AA5" s="18">
        <f t="shared" si="14"/>
        <v>0.005154541804677056</v>
      </c>
      <c r="AB5" s="19">
        <f t="shared" si="15"/>
        <v>21507.881958950296</v>
      </c>
      <c r="AC5" s="20" t="s">
        <v>111</v>
      </c>
      <c r="AD5" s="18" t="s">
        <v>111</v>
      </c>
      <c r="AE5" s="20" t="s">
        <v>111</v>
      </c>
      <c r="AF5" s="19"/>
      <c r="AG5" s="23">
        <v>24</v>
      </c>
      <c r="AH5" s="63">
        <v>0.525</v>
      </c>
      <c r="AI5" s="19">
        <f t="shared" si="16"/>
        <v>302400000</v>
      </c>
      <c r="AJ5" s="48" t="s">
        <v>111</v>
      </c>
      <c r="AK5" s="48">
        <f t="shared" si="17"/>
        <v>15126664114914342</v>
      </c>
      <c r="AL5" s="23">
        <f t="shared" si="18"/>
        <v>10</v>
      </c>
      <c r="AM5" s="23">
        <f t="shared" si="19"/>
        <v>94.50693825942304</v>
      </c>
      <c r="AN5" s="48">
        <f t="shared" si="20"/>
        <v>1836189.4449749384</v>
      </c>
      <c r="AO5" s="48">
        <f t="shared" si="21"/>
        <v>3060.3157416248973</v>
      </c>
      <c r="AP5" s="46">
        <f t="shared" si="22"/>
        <v>0.1790906914122196</v>
      </c>
      <c r="AQ5" s="23">
        <f t="shared" si="23"/>
        <v>225.45965609715086</v>
      </c>
      <c r="AR5" s="33">
        <f t="shared" si="24"/>
        <v>0.47752</v>
      </c>
      <c r="AS5" s="35">
        <f t="shared" si="25"/>
        <v>10766.149497951146</v>
      </c>
      <c r="AT5" s="47">
        <f t="shared" si="26"/>
        <v>0.031022156261266927</v>
      </c>
      <c r="AU5" s="35">
        <f t="shared" si="27"/>
        <v>44.08121021160582</v>
      </c>
      <c r="AV5" s="35">
        <f t="shared" si="28"/>
        <v>105.56193408007327</v>
      </c>
      <c r="AW5" s="66">
        <f>AW4</f>
        <v>0.64</v>
      </c>
      <c r="AX5" s="20">
        <v>1</v>
      </c>
      <c r="AY5" s="23">
        <f t="shared" si="29"/>
        <v>0.64</v>
      </c>
      <c r="AZ5" s="48">
        <f t="shared" si="30"/>
        <v>0.005918560606060606</v>
      </c>
      <c r="BA5" s="23" t="s">
        <v>111</v>
      </c>
      <c r="BB5" s="35">
        <f t="shared" si="31"/>
        <v>6077.1</v>
      </c>
      <c r="BC5" s="47">
        <v>0.505</v>
      </c>
      <c r="BD5" s="35">
        <f t="shared" si="32"/>
        <v>47.9521171875</v>
      </c>
      <c r="BF5" s="1" t="s">
        <v>120</v>
      </c>
      <c r="BG5" s="33">
        <f aca="true" t="shared" si="37" ref="BG5:BG11">BG4</f>
        <v>0.21915524973899067</v>
      </c>
      <c r="BH5" s="35">
        <f>2*PI()*N6/12*(U6+U7)</f>
        <v>289.5442324196338</v>
      </c>
      <c r="BI5" s="35">
        <f t="shared" si="33"/>
        <v>29.455767580366228</v>
      </c>
      <c r="BJ5" s="35">
        <f t="shared" si="34"/>
        <v>10.173149481933464</v>
      </c>
      <c r="BK5" s="35">
        <v>319</v>
      </c>
      <c r="BL5" s="35">
        <f t="shared" si="35"/>
        <v>271.0011101499037</v>
      </c>
      <c r="BM5" s="1">
        <v>2</v>
      </c>
      <c r="BN5" s="35">
        <f t="shared" si="36"/>
        <v>542.0022202998074</v>
      </c>
    </row>
    <row r="6" spans="1:66" ht="12">
      <c r="A6" s="14" t="s">
        <v>121</v>
      </c>
      <c r="B6" s="24">
        <v>0.394</v>
      </c>
      <c r="C6" s="24">
        <v>0.63</v>
      </c>
      <c r="D6" s="24">
        <v>0.188</v>
      </c>
      <c r="E6" s="24">
        <v>0</v>
      </c>
      <c r="F6" s="24">
        <v>0.039</v>
      </c>
      <c r="G6" s="24">
        <v>0.064</v>
      </c>
      <c r="H6" s="24">
        <v>0.064</v>
      </c>
      <c r="I6" s="24">
        <v>123.3674</v>
      </c>
      <c r="J6" s="15">
        <f t="shared" si="0"/>
        <v>61.4337</v>
      </c>
      <c r="K6" s="26">
        <v>1</v>
      </c>
      <c r="L6" s="15">
        <f t="shared" si="1"/>
        <v>8.616</v>
      </c>
      <c r="M6" s="24">
        <v>4.308</v>
      </c>
      <c r="N6" s="28">
        <f t="shared" si="2"/>
        <v>4.505</v>
      </c>
      <c r="O6" s="28">
        <f t="shared" si="3"/>
        <v>0.394</v>
      </c>
      <c r="P6" s="28">
        <f t="shared" si="4"/>
        <v>9.404</v>
      </c>
      <c r="Q6" s="24">
        <v>0</v>
      </c>
      <c r="R6" s="28">
        <f t="shared" si="5"/>
        <v>42.7764878</v>
      </c>
      <c r="S6" s="17">
        <f t="shared" si="6"/>
        <v>85.5529756</v>
      </c>
      <c r="T6" s="4">
        <f t="shared" si="7"/>
        <v>85.58497559999999</v>
      </c>
      <c r="U6" s="59">
        <f t="shared" si="8"/>
        <v>61.4337</v>
      </c>
      <c r="V6" s="17">
        <f t="shared" si="9"/>
        <v>33.7078723864</v>
      </c>
      <c r="W6" s="17">
        <f t="shared" si="10"/>
        <v>0.21915524973899067</v>
      </c>
      <c r="X6" s="17">
        <f t="shared" si="11"/>
        <v>13.463517865890232</v>
      </c>
      <c r="Y6" s="18">
        <f t="shared" si="12"/>
        <v>1738.9269420315818</v>
      </c>
      <c r="Z6" s="17">
        <f t="shared" si="13"/>
        <v>0.39941761116083707</v>
      </c>
      <c r="AA6" s="18">
        <f t="shared" si="14"/>
        <v>0.00516477741885536</v>
      </c>
      <c r="AB6" s="19">
        <f t="shared" si="15"/>
        <v>21550.591163738307</v>
      </c>
      <c r="AC6" s="20" t="s">
        <v>111</v>
      </c>
      <c r="AD6" s="18" t="s">
        <v>111</v>
      </c>
      <c r="AE6" s="20" t="s">
        <v>111</v>
      </c>
      <c r="AF6" s="19"/>
      <c r="AG6" s="23">
        <v>24</v>
      </c>
      <c r="AH6" s="63">
        <v>0.525</v>
      </c>
      <c r="AI6" s="19">
        <f t="shared" si="16"/>
        <v>302400000</v>
      </c>
      <c r="AJ6" s="48" t="s">
        <v>111</v>
      </c>
      <c r="AK6" s="48">
        <f t="shared" si="17"/>
        <v>15126664114914342</v>
      </c>
      <c r="AL6" s="23">
        <f t="shared" si="18"/>
        <v>10</v>
      </c>
      <c r="AM6" s="23">
        <f t="shared" si="19"/>
        <v>94.50693825942304</v>
      </c>
      <c r="AN6" s="48">
        <f t="shared" si="20"/>
        <v>1839835.6520345032</v>
      </c>
      <c r="AO6" s="48">
        <f t="shared" si="21"/>
        <v>3066.3927533908386</v>
      </c>
      <c r="AP6" s="46">
        <f t="shared" si="22"/>
        <v>0.1790906914122196</v>
      </c>
      <c r="AQ6" s="23">
        <f t="shared" si="23"/>
        <v>225.45965609715086</v>
      </c>
      <c r="AR6" s="33">
        <f t="shared" si="24"/>
        <v>0.47752</v>
      </c>
      <c r="AS6" s="35">
        <f t="shared" si="25"/>
        <v>10766.149497951146</v>
      </c>
      <c r="AT6" s="47">
        <f t="shared" si="26"/>
        <v>0.031022156261266927</v>
      </c>
      <c r="AU6" s="35">
        <f t="shared" si="27"/>
        <v>44.168744327602184</v>
      </c>
      <c r="AV6" s="35">
        <f t="shared" si="28"/>
        <v>105.77155333821544</v>
      </c>
      <c r="AW6" s="66">
        <f>AW4</f>
        <v>0.64</v>
      </c>
      <c r="AX6" s="20">
        <v>1</v>
      </c>
      <c r="AY6" s="23">
        <f t="shared" si="29"/>
        <v>0.64</v>
      </c>
      <c r="AZ6" s="48">
        <f t="shared" si="30"/>
        <v>0.005918560606060606</v>
      </c>
      <c r="BA6" s="23">
        <f>(AB6+AB7)*AZ6</f>
        <v>254.8532142391655</v>
      </c>
      <c r="BB6" s="35">
        <f t="shared" si="31"/>
        <v>6077.1</v>
      </c>
      <c r="BC6" s="47">
        <v>0.505</v>
      </c>
      <c r="BD6" s="35">
        <f t="shared" si="32"/>
        <v>47.9521171875</v>
      </c>
      <c r="BF6" s="1" t="s">
        <v>122</v>
      </c>
      <c r="BG6" s="33">
        <f t="shared" si="37"/>
        <v>0.21915524973899067</v>
      </c>
      <c r="BH6" s="35">
        <f>2*PI()*N8/12*(U8+U9)</f>
        <v>314.43310751861725</v>
      </c>
      <c r="BI6" s="35">
        <f t="shared" si="33"/>
        <v>32.56689248138275</v>
      </c>
      <c r="BJ6" s="35">
        <f t="shared" si="34"/>
        <v>10.357335694828041</v>
      </c>
      <c r="BK6" s="35">
        <v>347</v>
      </c>
      <c r="BL6" s="35">
        <f t="shared" si="35"/>
        <v>294.7880414483278</v>
      </c>
      <c r="BM6" s="1">
        <v>2</v>
      </c>
      <c r="BN6" s="35">
        <f t="shared" si="36"/>
        <v>589.5760828966556</v>
      </c>
    </row>
    <row r="7" spans="1:66" ht="12">
      <c r="A7" s="14" t="s">
        <v>123</v>
      </c>
      <c r="B7" s="24">
        <v>0.394</v>
      </c>
      <c r="C7" s="24">
        <v>0.63</v>
      </c>
      <c r="D7" s="24">
        <v>0.188</v>
      </c>
      <c r="E7" s="24">
        <v>0</v>
      </c>
      <c r="F7" s="24">
        <v>0.039</v>
      </c>
      <c r="G7" s="24">
        <v>0.064</v>
      </c>
      <c r="H7" s="24">
        <v>0.064</v>
      </c>
      <c r="I7" s="24">
        <v>123.1326</v>
      </c>
      <c r="J7" s="15">
        <f t="shared" si="0"/>
        <v>61.3163</v>
      </c>
      <c r="K7" s="26">
        <v>1</v>
      </c>
      <c r="L7" s="15">
        <f t="shared" si="1"/>
        <v>8.616</v>
      </c>
      <c r="M7" s="24">
        <v>4.308</v>
      </c>
      <c r="N7" s="28">
        <f t="shared" si="2"/>
        <v>4.505</v>
      </c>
      <c r="O7" s="28">
        <f t="shared" si="3"/>
        <v>0.394</v>
      </c>
      <c r="P7" s="28">
        <f t="shared" si="4"/>
        <v>9.404</v>
      </c>
      <c r="Q7" s="24">
        <v>0</v>
      </c>
      <c r="R7" s="28">
        <f t="shared" si="5"/>
        <v>42.6950122</v>
      </c>
      <c r="S7" s="17">
        <f t="shared" si="6"/>
        <v>85.3900244</v>
      </c>
      <c r="T7" s="4">
        <f t="shared" si="7"/>
        <v>85.4220244</v>
      </c>
      <c r="U7" s="59">
        <f t="shared" si="8"/>
        <v>61.3163</v>
      </c>
      <c r="V7" s="17">
        <f t="shared" si="9"/>
        <v>33.643669613600004</v>
      </c>
      <c r="W7" s="17">
        <f t="shared" si="10"/>
        <v>0.21915524973899067</v>
      </c>
      <c r="X7" s="17">
        <f t="shared" si="11"/>
        <v>13.437789039570873</v>
      </c>
      <c r="Y7" s="18">
        <f t="shared" si="12"/>
        <v>1735.6038470040235</v>
      </c>
      <c r="Z7" s="17">
        <f t="shared" si="13"/>
        <v>0.3994150814671782</v>
      </c>
      <c r="AA7" s="18">
        <f t="shared" si="14"/>
        <v>0.005154907512452626</v>
      </c>
      <c r="AB7" s="19">
        <f t="shared" si="15"/>
        <v>21509.407914111096</v>
      </c>
      <c r="AC7" s="20" t="s">
        <v>111</v>
      </c>
      <c r="AD7" s="18" t="s">
        <v>111</v>
      </c>
      <c r="AE7" s="20" t="s">
        <v>111</v>
      </c>
      <c r="AF7" s="19"/>
      <c r="AG7" s="23">
        <v>24</v>
      </c>
      <c r="AH7" s="63">
        <v>0.525</v>
      </c>
      <c r="AI7" s="19">
        <f t="shared" si="16"/>
        <v>302400000</v>
      </c>
      <c r="AJ7" s="48" t="s">
        <v>111</v>
      </c>
      <c r="AK7" s="48">
        <f t="shared" si="17"/>
        <v>15126664114914342</v>
      </c>
      <c r="AL7" s="23">
        <f t="shared" si="18"/>
        <v>10</v>
      </c>
      <c r="AM7" s="23">
        <f t="shared" si="19"/>
        <v>94.50693825942304</v>
      </c>
      <c r="AN7" s="48">
        <f t="shared" si="20"/>
        <v>1836319.7201347663</v>
      </c>
      <c r="AO7" s="48">
        <f t="shared" si="21"/>
        <v>3060.532866891277</v>
      </c>
      <c r="AP7" s="46">
        <f t="shared" si="22"/>
        <v>0.1790906914122196</v>
      </c>
      <c r="AQ7" s="23">
        <f t="shared" si="23"/>
        <v>225.45965609715086</v>
      </c>
      <c r="AR7" s="33">
        <f t="shared" si="24"/>
        <v>0.47752</v>
      </c>
      <c r="AS7" s="35">
        <f t="shared" si="25"/>
        <v>10766.149497951146</v>
      </c>
      <c r="AT7" s="47">
        <f t="shared" si="26"/>
        <v>0.031022156261266927</v>
      </c>
      <c r="AU7" s="35">
        <f t="shared" si="27"/>
        <v>44.084337713902194</v>
      </c>
      <c r="AV7" s="35">
        <f t="shared" si="28"/>
        <v>105.56942355664754</v>
      </c>
      <c r="AW7" s="66">
        <f>AW4</f>
        <v>0.64</v>
      </c>
      <c r="AX7" s="20">
        <v>1</v>
      </c>
      <c r="AY7" s="23">
        <f t="shared" si="29"/>
        <v>0.64</v>
      </c>
      <c r="AZ7" s="48">
        <f t="shared" si="30"/>
        <v>0.005918560606060606</v>
      </c>
      <c r="BA7" s="23" t="s">
        <v>111</v>
      </c>
      <c r="BB7" s="35">
        <f t="shared" si="31"/>
        <v>6077.1</v>
      </c>
      <c r="BC7" s="47">
        <v>0.505</v>
      </c>
      <c r="BD7" s="35">
        <f t="shared" si="32"/>
        <v>47.9521171875</v>
      </c>
      <c r="BF7" s="1" t="s">
        <v>124</v>
      </c>
      <c r="BG7" s="33">
        <f t="shared" si="37"/>
        <v>0.21915524973899067</v>
      </c>
      <c r="BH7" s="35">
        <f>2*PI()*N10/12*(U10+U11)</f>
        <v>314.43310751861725</v>
      </c>
      <c r="BI7" s="35">
        <f t="shared" si="33"/>
        <v>32.56689248138275</v>
      </c>
      <c r="BJ7" s="35">
        <f t="shared" si="34"/>
        <v>10.357335694828041</v>
      </c>
      <c r="BK7" s="35">
        <v>347</v>
      </c>
      <c r="BL7" s="35">
        <f t="shared" si="35"/>
        <v>294.7880414483278</v>
      </c>
      <c r="BM7" s="1">
        <v>2</v>
      </c>
      <c r="BN7" s="35">
        <f t="shared" si="36"/>
        <v>589.5760828966556</v>
      </c>
    </row>
    <row r="8" spans="1:66" ht="12">
      <c r="A8" s="14" t="s">
        <v>125</v>
      </c>
      <c r="B8" s="24">
        <v>0.394</v>
      </c>
      <c r="C8" s="24">
        <v>0.63</v>
      </c>
      <c r="D8" s="24">
        <v>0.188</v>
      </c>
      <c r="E8" s="24">
        <v>0</v>
      </c>
      <c r="F8" s="24">
        <v>0.039</v>
      </c>
      <c r="G8" s="24">
        <v>0.064</v>
      </c>
      <c r="H8" s="24">
        <v>0.064</v>
      </c>
      <c r="I8" s="24">
        <v>121.8761</v>
      </c>
      <c r="J8" s="15">
        <f t="shared" si="0"/>
        <v>60.68805</v>
      </c>
      <c r="K8" s="26">
        <v>1</v>
      </c>
      <c r="L8" s="15">
        <f t="shared" si="1"/>
        <v>9.532</v>
      </c>
      <c r="M8" s="24">
        <v>4.766</v>
      </c>
      <c r="N8" s="28">
        <f t="shared" si="2"/>
        <v>4.963</v>
      </c>
      <c r="O8" s="28">
        <f t="shared" si="3"/>
        <v>0.394</v>
      </c>
      <c r="P8" s="28">
        <f t="shared" si="4"/>
        <v>10.32</v>
      </c>
      <c r="Q8" s="24">
        <v>0</v>
      </c>
      <c r="R8" s="28">
        <f t="shared" si="5"/>
        <v>42.2590067</v>
      </c>
      <c r="S8" s="17">
        <f t="shared" si="6"/>
        <v>84.5180134</v>
      </c>
      <c r="T8" s="4">
        <f t="shared" si="7"/>
        <v>84.5500134</v>
      </c>
      <c r="U8" s="59">
        <f t="shared" si="8"/>
        <v>60.68805</v>
      </c>
      <c r="V8" s="17">
        <f t="shared" si="9"/>
        <v>33.3000972796</v>
      </c>
      <c r="W8" s="17">
        <f t="shared" si="10"/>
        <v>0.21915524973899067</v>
      </c>
      <c r="X8" s="17">
        <f t="shared" si="11"/>
        <v>13.300104753922351</v>
      </c>
      <c r="Y8" s="18">
        <f t="shared" si="12"/>
        <v>1892.4626926358892</v>
      </c>
      <c r="Z8" s="17">
        <f t="shared" si="13"/>
        <v>0.3994013783878685</v>
      </c>
      <c r="AA8" s="18">
        <f t="shared" si="14"/>
        <v>0.0056207931136732815</v>
      </c>
      <c r="AB8" s="19">
        <f t="shared" si="15"/>
        <v>23453.3658636492</v>
      </c>
      <c r="AC8" s="20" t="s">
        <v>111</v>
      </c>
      <c r="AD8" s="18" t="s">
        <v>111</v>
      </c>
      <c r="AE8" s="20" t="s">
        <v>111</v>
      </c>
      <c r="AF8" s="19" t="s">
        <v>111</v>
      </c>
      <c r="AG8" s="23">
        <v>24</v>
      </c>
      <c r="AH8" s="63">
        <v>0.525</v>
      </c>
      <c r="AI8" s="19">
        <f t="shared" si="16"/>
        <v>302400000</v>
      </c>
      <c r="AJ8" s="48" t="s">
        <v>111</v>
      </c>
      <c r="AK8" s="48">
        <f t="shared" si="17"/>
        <v>15126664114914342</v>
      </c>
      <c r="AL8" s="23">
        <f t="shared" si="18"/>
        <v>10</v>
      </c>
      <c r="AM8" s="23">
        <f t="shared" si="19"/>
        <v>94.50693825942304</v>
      </c>
      <c r="AN8" s="48">
        <f t="shared" si="20"/>
        <v>2002280.9744893166</v>
      </c>
      <c r="AO8" s="48">
        <f t="shared" si="21"/>
        <v>3337.1349574821943</v>
      </c>
      <c r="AP8" s="46">
        <f t="shared" si="22"/>
        <v>0.1790906914122196</v>
      </c>
      <c r="AQ8" s="23">
        <f t="shared" si="23"/>
        <v>246.59649885625876</v>
      </c>
      <c r="AR8" s="33">
        <f t="shared" si="24"/>
        <v>0.47752</v>
      </c>
      <c r="AS8" s="35">
        <f t="shared" si="25"/>
        <v>11775.476013384068</v>
      </c>
      <c r="AT8" s="47">
        <f t="shared" si="26"/>
        <v>0.03033489280341284</v>
      </c>
      <c r="AU8" s="35">
        <f t="shared" si="27"/>
        <v>48.06855239295159</v>
      </c>
      <c r="AV8" s="35">
        <f t="shared" si="28"/>
        <v>134.65469122568763</v>
      </c>
      <c r="AW8" s="12">
        <v>0.7</v>
      </c>
      <c r="AX8" s="20">
        <v>1</v>
      </c>
      <c r="AY8" s="23">
        <f t="shared" si="29"/>
        <v>0.7</v>
      </c>
      <c r="AZ8" s="48">
        <f t="shared" si="30"/>
        <v>0.005411255411255412</v>
      </c>
      <c r="BA8" s="23">
        <f>(AB8+AB9)*AZ8</f>
        <v>253.03779748996362</v>
      </c>
      <c r="BB8" s="35">
        <f t="shared" si="31"/>
        <v>6077.1</v>
      </c>
      <c r="BC8" s="47">
        <v>0.75</v>
      </c>
      <c r="BD8" s="35">
        <f t="shared" si="32"/>
        <v>71.21601562500001</v>
      </c>
      <c r="BF8" s="1" t="s">
        <v>126</v>
      </c>
      <c r="BG8" s="33">
        <f t="shared" si="37"/>
        <v>0.21915524973899067</v>
      </c>
      <c r="BH8" s="35">
        <f>2*PI()*N12/12*(U12+U13)</f>
        <v>339.1922610209462</v>
      </c>
      <c r="BI8" s="35">
        <f t="shared" si="33"/>
        <v>36.807738979053795</v>
      </c>
      <c r="BJ8" s="35">
        <f t="shared" si="34"/>
        <v>10.851585725530688</v>
      </c>
      <c r="BK8" s="35">
        <v>376</v>
      </c>
      <c r="BL8" s="35">
        <f t="shared" si="35"/>
        <v>319.42450600740995</v>
      </c>
      <c r="BM8" s="1">
        <v>2</v>
      </c>
      <c r="BN8" s="35">
        <f t="shared" si="36"/>
        <v>638.8490120148199</v>
      </c>
    </row>
    <row r="9" spans="1:66" ht="12">
      <c r="A9" s="14" t="s">
        <v>127</v>
      </c>
      <c r="B9" s="24">
        <v>0.394</v>
      </c>
      <c r="C9" s="24">
        <v>0.63</v>
      </c>
      <c r="D9" s="24">
        <v>0.188</v>
      </c>
      <c r="E9" s="24">
        <v>0</v>
      </c>
      <c r="F9" s="24">
        <v>0.039</v>
      </c>
      <c r="G9" s="24">
        <v>0.064</v>
      </c>
      <c r="H9" s="24">
        <v>0.064</v>
      </c>
      <c r="I9" s="24">
        <v>121.1239</v>
      </c>
      <c r="J9" s="15">
        <f t="shared" si="0"/>
        <v>60.31195</v>
      </c>
      <c r="K9" s="26">
        <v>1</v>
      </c>
      <c r="L9" s="15">
        <f t="shared" si="1"/>
        <v>9.532</v>
      </c>
      <c r="M9" s="24">
        <v>4.766</v>
      </c>
      <c r="N9" s="28">
        <f t="shared" si="2"/>
        <v>4.963</v>
      </c>
      <c r="O9" s="28">
        <f t="shared" si="3"/>
        <v>0.394</v>
      </c>
      <c r="P9" s="28">
        <f t="shared" si="4"/>
        <v>10.32</v>
      </c>
      <c r="Q9" s="24">
        <v>0</v>
      </c>
      <c r="R9" s="28">
        <f t="shared" si="5"/>
        <v>41.997993300000005</v>
      </c>
      <c r="S9" s="17">
        <f t="shared" si="6"/>
        <v>83.99598660000001</v>
      </c>
      <c r="T9" s="4">
        <f t="shared" si="7"/>
        <v>84.0279866</v>
      </c>
      <c r="U9" s="59">
        <f t="shared" si="8"/>
        <v>60.31195</v>
      </c>
      <c r="V9" s="17">
        <f t="shared" si="9"/>
        <v>33.09441872040001</v>
      </c>
      <c r="W9" s="17">
        <f t="shared" si="10"/>
        <v>0.21915524973899067</v>
      </c>
      <c r="X9" s="17">
        <f t="shared" si="11"/>
        <v>13.217680464495519</v>
      </c>
      <c r="Y9" s="18">
        <f t="shared" si="12"/>
        <v>1880.7345975875173</v>
      </c>
      <c r="Z9" s="17">
        <f t="shared" si="13"/>
        <v>0.39939303893402117</v>
      </c>
      <c r="AA9" s="18">
        <f t="shared" si="14"/>
        <v>0.005585959562586163</v>
      </c>
      <c r="AB9" s="19">
        <f t="shared" si="15"/>
        <v>23308.019112496077</v>
      </c>
      <c r="AC9" s="20" t="s">
        <v>111</v>
      </c>
      <c r="AD9" s="18" t="s">
        <v>111</v>
      </c>
      <c r="AE9" s="20" t="s">
        <v>111</v>
      </c>
      <c r="AF9" s="19" t="s">
        <v>111</v>
      </c>
      <c r="AG9" s="23">
        <v>24</v>
      </c>
      <c r="AH9" s="63">
        <v>0.525</v>
      </c>
      <c r="AI9" s="19">
        <f t="shared" si="16"/>
        <v>302400000</v>
      </c>
      <c r="AJ9" s="48" t="s">
        <v>111</v>
      </c>
      <c r="AK9" s="48">
        <f t="shared" si="17"/>
        <v>15126664114914342</v>
      </c>
      <c r="AL9" s="23">
        <f t="shared" si="18"/>
        <v>10</v>
      </c>
      <c r="AM9" s="23">
        <f t="shared" si="19"/>
        <v>94.50693825942304</v>
      </c>
      <c r="AN9" s="48">
        <f t="shared" si="20"/>
        <v>1989872.3063164982</v>
      </c>
      <c r="AO9" s="48">
        <f t="shared" si="21"/>
        <v>3316.45384386083</v>
      </c>
      <c r="AP9" s="46">
        <f t="shared" si="22"/>
        <v>0.1790906914122196</v>
      </c>
      <c r="AQ9" s="23">
        <f t="shared" si="23"/>
        <v>246.59649885625876</v>
      </c>
      <c r="AR9" s="33">
        <f t="shared" si="24"/>
        <v>0.47752</v>
      </c>
      <c r="AS9" s="35">
        <f t="shared" si="25"/>
        <v>11775.476013384068</v>
      </c>
      <c r="AT9" s="47">
        <f t="shared" si="26"/>
        <v>0.03033489280341284</v>
      </c>
      <c r="AU9" s="35">
        <f t="shared" si="27"/>
        <v>47.77065877872294</v>
      </c>
      <c r="AV9" s="35">
        <f t="shared" si="28"/>
        <v>133.8202002613218</v>
      </c>
      <c r="AW9" s="66">
        <f>AW8</f>
        <v>0.7</v>
      </c>
      <c r="AX9" s="20">
        <v>1</v>
      </c>
      <c r="AY9" s="23">
        <f t="shared" si="29"/>
        <v>0.7</v>
      </c>
      <c r="AZ9" s="48">
        <f t="shared" si="30"/>
        <v>0.005411255411255412</v>
      </c>
      <c r="BA9" s="23" t="s">
        <v>111</v>
      </c>
      <c r="BB9" s="35">
        <f t="shared" si="31"/>
        <v>6077.1</v>
      </c>
      <c r="BC9" s="47">
        <v>0.75</v>
      </c>
      <c r="BD9" s="35">
        <f t="shared" si="32"/>
        <v>71.21601562500001</v>
      </c>
      <c r="BF9" s="1" t="s">
        <v>128</v>
      </c>
      <c r="BG9" s="33">
        <f t="shared" si="37"/>
        <v>0.21915524973899067</v>
      </c>
      <c r="BH9" s="35">
        <f>2*PI()*N14/12*(U14+U15)</f>
        <v>341.32108274283496</v>
      </c>
      <c r="BI9" s="35">
        <f t="shared" si="33"/>
        <v>34.67891725716504</v>
      </c>
      <c r="BJ9" s="35">
        <f t="shared" si="34"/>
        <v>10.160203693978541</v>
      </c>
      <c r="BK9" s="35">
        <v>376</v>
      </c>
      <c r="BL9" s="35">
        <f t="shared" si="35"/>
        <v>319.42450600740995</v>
      </c>
      <c r="BM9" s="1">
        <v>2</v>
      </c>
      <c r="BN9" s="35">
        <f t="shared" si="36"/>
        <v>638.8490120148199</v>
      </c>
    </row>
    <row r="10" spans="1:66" ht="12">
      <c r="A10" s="14" t="s">
        <v>129</v>
      </c>
      <c r="B10" s="24">
        <v>0.394</v>
      </c>
      <c r="C10" s="24">
        <v>0.63</v>
      </c>
      <c r="D10" s="24">
        <v>0.188</v>
      </c>
      <c r="E10" s="24">
        <v>0</v>
      </c>
      <c r="F10" s="24">
        <v>0.039</v>
      </c>
      <c r="G10" s="24">
        <v>0.064</v>
      </c>
      <c r="H10" s="24">
        <v>0.064</v>
      </c>
      <c r="I10" s="24">
        <v>121.8761</v>
      </c>
      <c r="J10" s="15">
        <f t="shared" si="0"/>
        <v>60.68805</v>
      </c>
      <c r="K10" s="26">
        <v>1</v>
      </c>
      <c r="L10" s="15">
        <f t="shared" si="1"/>
        <v>9.532</v>
      </c>
      <c r="M10" s="24">
        <v>4.766</v>
      </c>
      <c r="N10" s="28">
        <f t="shared" si="2"/>
        <v>4.963</v>
      </c>
      <c r="O10" s="28">
        <f t="shared" si="3"/>
        <v>0.394</v>
      </c>
      <c r="P10" s="28">
        <f t="shared" si="4"/>
        <v>10.32</v>
      </c>
      <c r="Q10" s="24">
        <v>0</v>
      </c>
      <c r="R10" s="28">
        <f t="shared" si="5"/>
        <v>42.2590067</v>
      </c>
      <c r="S10" s="17">
        <f t="shared" si="6"/>
        <v>84.5180134</v>
      </c>
      <c r="T10" s="4">
        <f t="shared" si="7"/>
        <v>84.5500134</v>
      </c>
      <c r="U10" s="59">
        <f t="shared" si="8"/>
        <v>60.68805</v>
      </c>
      <c r="V10" s="17">
        <f t="shared" si="9"/>
        <v>33.3000972796</v>
      </c>
      <c r="W10" s="17">
        <f t="shared" si="10"/>
        <v>0.21915524973899067</v>
      </c>
      <c r="X10" s="17">
        <f t="shared" si="11"/>
        <v>13.300104753922351</v>
      </c>
      <c r="Y10" s="18">
        <f t="shared" si="12"/>
        <v>1892.4626926358892</v>
      </c>
      <c r="Z10" s="17">
        <f t="shared" si="13"/>
        <v>0.3994013783878685</v>
      </c>
      <c r="AA10" s="18">
        <f t="shared" si="14"/>
        <v>0.0056207931136732815</v>
      </c>
      <c r="AB10" s="19">
        <f t="shared" si="15"/>
        <v>23453.3658636492</v>
      </c>
      <c r="AC10" s="20" t="s">
        <v>111</v>
      </c>
      <c r="AD10" s="18" t="s">
        <v>111</v>
      </c>
      <c r="AE10" s="20" t="s">
        <v>111</v>
      </c>
      <c r="AF10" s="19" t="s">
        <v>111</v>
      </c>
      <c r="AG10" s="23">
        <v>24</v>
      </c>
      <c r="AH10" s="63">
        <v>0.525</v>
      </c>
      <c r="AI10" s="19">
        <f t="shared" si="16"/>
        <v>302400000</v>
      </c>
      <c r="AJ10" s="48" t="s">
        <v>111</v>
      </c>
      <c r="AK10" s="48">
        <f t="shared" si="17"/>
        <v>15126664114914342</v>
      </c>
      <c r="AL10" s="23">
        <f t="shared" si="18"/>
        <v>10</v>
      </c>
      <c r="AM10" s="23">
        <f t="shared" si="19"/>
        <v>94.50693825942304</v>
      </c>
      <c r="AN10" s="48">
        <f t="shared" si="20"/>
        <v>2002280.9744893166</v>
      </c>
      <c r="AO10" s="48">
        <f t="shared" si="21"/>
        <v>3337.1349574821943</v>
      </c>
      <c r="AP10" s="46">
        <f t="shared" si="22"/>
        <v>0.1790906914122196</v>
      </c>
      <c r="AQ10" s="23">
        <f t="shared" si="23"/>
        <v>246.59649885625876</v>
      </c>
      <c r="AR10" s="33">
        <f t="shared" si="24"/>
        <v>0.47752</v>
      </c>
      <c r="AS10" s="35">
        <f t="shared" si="25"/>
        <v>11775.476013384068</v>
      </c>
      <c r="AT10" s="47">
        <f t="shared" si="26"/>
        <v>0.03033489280341284</v>
      </c>
      <c r="AU10" s="35">
        <f t="shared" si="27"/>
        <v>48.06855239295159</v>
      </c>
      <c r="AV10" s="35">
        <f t="shared" si="28"/>
        <v>134.65469122568763</v>
      </c>
      <c r="AW10" s="66">
        <f>AW8</f>
        <v>0.7</v>
      </c>
      <c r="AX10" s="20">
        <v>1</v>
      </c>
      <c r="AY10" s="23">
        <f t="shared" si="29"/>
        <v>0.7</v>
      </c>
      <c r="AZ10" s="48">
        <f t="shared" si="30"/>
        <v>0.005411255411255412</v>
      </c>
      <c r="BA10" s="23">
        <f>(AB10+AB11)*AZ10</f>
        <v>253.03779748996362</v>
      </c>
      <c r="BB10" s="35">
        <f t="shared" si="31"/>
        <v>6077.1</v>
      </c>
      <c r="BC10" s="47">
        <v>0.75</v>
      </c>
      <c r="BD10" s="35">
        <f t="shared" si="32"/>
        <v>71.21601562500001</v>
      </c>
      <c r="BF10" s="1" t="s">
        <v>130</v>
      </c>
      <c r="BG10" s="33">
        <f t="shared" si="37"/>
        <v>0.21915524973899067</v>
      </c>
      <c r="BH10" s="35">
        <f>2*PI()*N16/12*(U16+U17)</f>
        <v>363.23198980560306</v>
      </c>
      <c r="BI10" s="35">
        <f t="shared" si="33"/>
        <v>37.768010194396936</v>
      </c>
      <c r="BJ10" s="35">
        <f t="shared" si="34"/>
        <v>10.397765410092298</v>
      </c>
      <c r="BK10" s="35">
        <v>401</v>
      </c>
      <c r="BL10" s="35">
        <f t="shared" si="35"/>
        <v>340.66283752386005</v>
      </c>
      <c r="BM10" s="1">
        <v>2</v>
      </c>
      <c r="BN10" s="35">
        <f t="shared" si="36"/>
        <v>681.3256750477201</v>
      </c>
    </row>
    <row r="11" spans="1:66" ht="12">
      <c r="A11" s="14" t="s">
        <v>131</v>
      </c>
      <c r="B11" s="24">
        <v>0.394</v>
      </c>
      <c r="C11" s="24">
        <v>0.63</v>
      </c>
      <c r="D11" s="24">
        <v>0.188</v>
      </c>
      <c r="E11" s="24">
        <v>0</v>
      </c>
      <c r="F11" s="24">
        <v>0.039</v>
      </c>
      <c r="G11" s="24">
        <v>0.064</v>
      </c>
      <c r="H11" s="24">
        <v>0.064</v>
      </c>
      <c r="I11" s="24">
        <v>121.1239</v>
      </c>
      <c r="J11" s="15">
        <f t="shared" si="0"/>
        <v>60.31195</v>
      </c>
      <c r="K11" s="26">
        <v>1</v>
      </c>
      <c r="L11" s="15">
        <f t="shared" si="1"/>
        <v>9.532</v>
      </c>
      <c r="M11" s="24">
        <v>4.766</v>
      </c>
      <c r="N11" s="28">
        <f t="shared" si="2"/>
        <v>4.963</v>
      </c>
      <c r="O11" s="28">
        <f t="shared" si="3"/>
        <v>0.394</v>
      </c>
      <c r="P11" s="28">
        <f t="shared" si="4"/>
        <v>10.32</v>
      </c>
      <c r="Q11" s="24">
        <v>0</v>
      </c>
      <c r="R11" s="28">
        <f t="shared" si="5"/>
        <v>41.997993300000005</v>
      </c>
      <c r="S11" s="17">
        <f t="shared" si="6"/>
        <v>83.99598660000001</v>
      </c>
      <c r="T11" s="4">
        <f t="shared" si="7"/>
        <v>84.0279866</v>
      </c>
      <c r="U11" s="59">
        <f t="shared" si="8"/>
        <v>60.31195</v>
      </c>
      <c r="V11" s="17">
        <f t="shared" si="9"/>
        <v>33.09441872040001</v>
      </c>
      <c r="W11" s="17">
        <f t="shared" si="10"/>
        <v>0.21915524973899067</v>
      </c>
      <c r="X11" s="17">
        <f t="shared" si="11"/>
        <v>13.217680464495519</v>
      </c>
      <c r="Y11" s="18">
        <f t="shared" si="12"/>
        <v>1880.7345975875173</v>
      </c>
      <c r="Z11" s="17">
        <f t="shared" si="13"/>
        <v>0.39939303893402117</v>
      </c>
      <c r="AA11" s="18">
        <f t="shared" si="14"/>
        <v>0.005585959562586163</v>
      </c>
      <c r="AB11" s="19">
        <f t="shared" si="15"/>
        <v>23308.019112496077</v>
      </c>
      <c r="AC11" s="20" t="s">
        <v>111</v>
      </c>
      <c r="AD11" s="18" t="s">
        <v>111</v>
      </c>
      <c r="AE11" s="20" t="s">
        <v>111</v>
      </c>
      <c r="AF11" s="19" t="s">
        <v>111</v>
      </c>
      <c r="AG11" s="23">
        <v>24</v>
      </c>
      <c r="AH11" s="63">
        <v>0.525</v>
      </c>
      <c r="AI11" s="19">
        <f t="shared" si="16"/>
        <v>302400000</v>
      </c>
      <c r="AJ11" s="48" t="s">
        <v>111</v>
      </c>
      <c r="AK11" s="48">
        <f t="shared" si="17"/>
        <v>15126664114914342</v>
      </c>
      <c r="AL11" s="23">
        <f t="shared" si="18"/>
        <v>10</v>
      </c>
      <c r="AM11" s="23">
        <f t="shared" si="19"/>
        <v>94.50693825942304</v>
      </c>
      <c r="AN11" s="48">
        <f t="shared" si="20"/>
        <v>1989872.3063164982</v>
      </c>
      <c r="AO11" s="48">
        <f t="shared" si="21"/>
        <v>3316.45384386083</v>
      </c>
      <c r="AP11" s="46">
        <f t="shared" si="22"/>
        <v>0.1790906914122196</v>
      </c>
      <c r="AQ11" s="23">
        <f t="shared" si="23"/>
        <v>246.59649885625876</v>
      </c>
      <c r="AR11" s="33">
        <f t="shared" si="24"/>
        <v>0.47752</v>
      </c>
      <c r="AS11" s="35">
        <f t="shared" si="25"/>
        <v>11775.476013384068</v>
      </c>
      <c r="AT11" s="47">
        <f t="shared" si="26"/>
        <v>0.03033489280341284</v>
      </c>
      <c r="AU11" s="35">
        <f t="shared" si="27"/>
        <v>47.77065877872294</v>
      </c>
      <c r="AV11" s="35">
        <f t="shared" si="28"/>
        <v>133.8202002613218</v>
      </c>
      <c r="AW11" s="66">
        <f>AW8</f>
        <v>0.7</v>
      </c>
      <c r="AX11" s="20">
        <v>1</v>
      </c>
      <c r="AY11" s="23">
        <f t="shared" si="29"/>
        <v>0.7</v>
      </c>
      <c r="AZ11" s="48">
        <f t="shared" si="30"/>
        <v>0.005411255411255412</v>
      </c>
      <c r="BA11" s="23" t="s">
        <v>111</v>
      </c>
      <c r="BB11" s="35">
        <f t="shared" si="31"/>
        <v>6077.1</v>
      </c>
      <c r="BC11" s="47">
        <v>0.75</v>
      </c>
      <c r="BD11" s="35">
        <f t="shared" si="32"/>
        <v>71.21601562500001</v>
      </c>
      <c r="BF11" s="1" t="s">
        <v>132</v>
      </c>
      <c r="BG11" s="33">
        <f t="shared" si="37"/>
        <v>0.21915524973899067</v>
      </c>
      <c r="BH11" s="35">
        <f>2*PI()*N18/12*(U18+U19)</f>
        <v>363.23198980560306</v>
      </c>
      <c r="BI11" s="35">
        <f t="shared" si="33"/>
        <v>37.768010194396936</v>
      </c>
      <c r="BJ11" s="35">
        <f t="shared" si="34"/>
        <v>10.397765410092298</v>
      </c>
      <c r="BK11" s="35">
        <v>401</v>
      </c>
      <c r="BL11" s="35">
        <f t="shared" si="35"/>
        <v>340.66283752386005</v>
      </c>
      <c r="BM11" s="1">
        <v>2</v>
      </c>
      <c r="BN11" s="35">
        <f t="shared" si="36"/>
        <v>681.3256750477201</v>
      </c>
    </row>
    <row r="12" spans="1:66" ht="12">
      <c r="A12" s="14" t="s">
        <v>133</v>
      </c>
      <c r="B12" s="24">
        <v>0.394</v>
      </c>
      <c r="C12" s="24">
        <v>0.63</v>
      </c>
      <c r="D12" s="24">
        <v>0.188</v>
      </c>
      <c r="E12" s="24">
        <v>0</v>
      </c>
      <c r="F12" s="24">
        <v>0.039</v>
      </c>
      <c r="G12" s="24">
        <v>0.064</v>
      </c>
      <c r="H12" s="24">
        <v>0.064</v>
      </c>
      <c r="I12" s="24">
        <v>119.3761</v>
      </c>
      <c r="J12" s="15">
        <f t="shared" si="0"/>
        <v>59.43805</v>
      </c>
      <c r="K12" s="26">
        <v>1</v>
      </c>
      <c r="L12" s="15">
        <f t="shared" si="1"/>
        <v>10.448</v>
      </c>
      <c r="M12" s="24">
        <v>5.224</v>
      </c>
      <c r="N12" s="28">
        <f t="shared" si="2"/>
        <v>5.421</v>
      </c>
      <c r="O12" s="28">
        <f t="shared" si="3"/>
        <v>0.394</v>
      </c>
      <c r="P12" s="28">
        <f t="shared" si="4"/>
        <v>11.236</v>
      </c>
      <c r="Q12" s="24">
        <v>0</v>
      </c>
      <c r="R12" s="28">
        <f t="shared" si="5"/>
        <v>41.3915067</v>
      </c>
      <c r="S12" s="17">
        <f t="shared" si="6"/>
        <v>82.7830134</v>
      </c>
      <c r="T12" s="4">
        <f t="shared" si="7"/>
        <v>82.8150134</v>
      </c>
      <c r="U12" s="59">
        <f t="shared" si="8"/>
        <v>59.43805</v>
      </c>
      <c r="V12" s="17">
        <f t="shared" si="9"/>
        <v>32.6165072796</v>
      </c>
      <c r="W12" s="17">
        <f t="shared" si="10"/>
        <v>0.21915524973899067</v>
      </c>
      <c r="X12" s="17">
        <f t="shared" si="11"/>
        <v>13.026160691748613</v>
      </c>
      <c r="Y12" s="18">
        <f t="shared" si="12"/>
        <v>2024.5281911473858</v>
      </c>
      <c r="Z12" s="17">
        <f t="shared" si="13"/>
        <v>0.3993732553913223</v>
      </c>
      <c r="AA12" s="18">
        <f t="shared" si="14"/>
        <v>0.006013040129942505</v>
      </c>
      <c r="AB12" s="19">
        <f t="shared" si="15"/>
        <v>25090.05887039017</v>
      </c>
      <c r="AC12" s="20" t="s">
        <v>111</v>
      </c>
      <c r="AD12" s="18" t="s">
        <v>111</v>
      </c>
      <c r="AE12" s="20" t="s">
        <v>111</v>
      </c>
      <c r="AF12" s="19"/>
      <c r="AG12" s="23">
        <v>24</v>
      </c>
      <c r="AH12" s="63">
        <v>0.525</v>
      </c>
      <c r="AI12" s="19">
        <f t="shared" si="16"/>
        <v>302400000</v>
      </c>
      <c r="AJ12" s="48" t="s">
        <v>111</v>
      </c>
      <c r="AK12" s="48">
        <f t="shared" si="17"/>
        <v>15126664114914342</v>
      </c>
      <c r="AL12" s="23">
        <f t="shared" si="18"/>
        <v>10</v>
      </c>
      <c r="AM12" s="23">
        <f t="shared" si="19"/>
        <v>94.50693825942304</v>
      </c>
      <c r="AN12" s="48">
        <f t="shared" si="20"/>
        <v>2142010.1411909894</v>
      </c>
      <c r="AO12" s="48">
        <f t="shared" si="21"/>
        <v>3570.0169019849823</v>
      </c>
      <c r="AP12" s="46">
        <f t="shared" si="22"/>
        <v>0.1790906914122196</v>
      </c>
      <c r="AQ12" s="23">
        <f t="shared" si="23"/>
        <v>267.73334161536667</v>
      </c>
      <c r="AR12" s="33">
        <f t="shared" si="24"/>
        <v>0.47752</v>
      </c>
      <c r="AS12" s="35">
        <f t="shared" si="25"/>
        <v>12784.802528816987</v>
      </c>
      <c r="AT12" s="47">
        <f t="shared" si="26"/>
        <v>0.029717589307072224</v>
      </c>
      <c r="AU12" s="35">
        <f t="shared" si="27"/>
        <v>51.4230160551436</v>
      </c>
      <c r="AV12" s="35">
        <f t="shared" si="28"/>
        <v>166.34900469232974</v>
      </c>
      <c r="AW12" s="12">
        <v>0.76</v>
      </c>
      <c r="AX12" s="20">
        <v>1</v>
      </c>
      <c r="AY12" s="23">
        <f t="shared" si="29"/>
        <v>0.76</v>
      </c>
      <c r="AZ12" s="48">
        <f t="shared" si="30"/>
        <v>0.004984051036682616</v>
      </c>
      <c r="BA12" s="23">
        <f>(AB12+AB13)*AZ12</f>
        <v>251.41287447764225</v>
      </c>
      <c r="BB12" s="35">
        <f t="shared" si="31"/>
        <v>6077.1</v>
      </c>
      <c r="BC12" s="47">
        <v>0.75</v>
      </c>
      <c r="BD12" s="35">
        <f t="shared" si="32"/>
        <v>71.21601562500001</v>
      </c>
      <c r="BF12" s="1" t="s">
        <v>134</v>
      </c>
      <c r="BG12" s="33">
        <f>W21</f>
        <v>0.5194564257976872</v>
      </c>
      <c r="BH12" s="35">
        <f>2*PI()*N21/12*U21</f>
        <v>178.44246272390023</v>
      </c>
      <c r="BI12" s="35">
        <f t="shared" si="33"/>
        <v>35.557537276099765</v>
      </c>
      <c r="BJ12" s="35">
        <f t="shared" si="34"/>
        <v>19.92661204811832</v>
      </c>
      <c r="BK12" s="35">
        <v>214</v>
      </c>
      <c r="BL12" s="35">
        <f t="shared" si="35"/>
        <v>430.9147944413494</v>
      </c>
      <c r="BM12" s="1">
        <v>3</v>
      </c>
      <c r="BN12" s="35">
        <f t="shared" si="36"/>
        <v>1292.7443833240482</v>
      </c>
    </row>
    <row r="13" spans="1:66" ht="12">
      <c r="A13" s="14" t="s">
        <v>135</v>
      </c>
      <c r="B13" s="24">
        <v>0.394</v>
      </c>
      <c r="C13" s="24">
        <v>0.63</v>
      </c>
      <c r="D13" s="24">
        <v>0.188</v>
      </c>
      <c r="E13" s="24">
        <v>0</v>
      </c>
      <c r="F13" s="24">
        <v>0.039</v>
      </c>
      <c r="G13" s="24">
        <v>0.064</v>
      </c>
      <c r="H13" s="24">
        <v>0.064</v>
      </c>
      <c r="I13" s="24">
        <v>120.6239</v>
      </c>
      <c r="J13" s="15">
        <f t="shared" si="0"/>
        <v>60.06195</v>
      </c>
      <c r="K13" s="26">
        <v>1</v>
      </c>
      <c r="L13" s="15">
        <f t="shared" si="1"/>
        <v>10.448</v>
      </c>
      <c r="M13" s="24">
        <v>5.224</v>
      </c>
      <c r="N13" s="28">
        <f t="shared" si="2"/>
        <v>5.421</v>
      </c>
      <c r="O13" s="28">
        <f t="shared" si="3"/>
        <v>0.394</v>
      </c>
      <c r="P13" s="28">
        <f t="shared" si="4"/>
        <v>11.236</v>
      </c>
      <c r="Q13" s="24">
        <v>0</v>
      </c>
      <c r="R13" s="28">
        <f t="shared" si="5"/>
        <v>41.8244933</v>
      </c>
      <c r="S13" s="17">
        <f t="shared" si="6"/>
        <v>83.6489866</v>
      </c>
      <c r="T13" s="4">
        <f t="shared" si="7"/>
        <v>83.6809866</v>
      </c>
      <c r="U13" s="59">
        <f t="shared" si="8"/>
        <v>60.06195</v>
      </c>
      <c r="V13" s="17">
        <f t="shared" si="9"/>
        <v>32.9577007204</v>
      </c>
      <c r="W13" s="17">
        <f t="shared" si="10"/>
        <v>0.21915524973899067</v>
      </c>
      <c r="X13" s="17">
        <f t="shared" si="11"/>
        <v>13.162891652060772</v>
      </c>
      <c r="Y13" s="18">
        <f t="shared" si="12"/>
        <v>2045.7789411039687</v>
      </c>
      <c r="Z13" s="17">
        <f t="shared" si="13"/>
        <v>0.3993874379687315</v>
      </c>
      <c r="AA13" s="18">
        <f t="shared" si="14"/>
        <v>0.006076156866394512</v>
      </c>
      <c r="AB13" s="19">
        <f t="shared" si="15"/>
        <v>25353.420264803965</v>
      </c>
      <c r="AC13" s="20" t="s">
        <v>111</v>
      </c>
      <c r="AD13" s="18" t="s">
        <v>111</v>
      </c>
      <c r="AE13" s="20" t="s">
        <v>111</v>
      </c>
      <c r="AF13" s="19"/>
      <c r="AG13" s="23">
        <v>24</v>
      </c>
      <c r="AH13" s="63">
        <v>0.525</v>
      </c>
      <c r="AI13" s="19">
        <f t="shared" si="16"/>
        <v>302400000</v>
      </c>
      <c r="AJ13" s="48" t="s">
        <v>111</v>
      </c>
      <c r="AK13" s="48">
        <f t="shared" si="17"/>
        <v>15126664114914342</v>
      </c>
      <c r="AL13" s="23">
        <f t="shared" si="18"/>
        <v>10</v>
      </c>
      <c r="AM13" s="23">
        <f t="shared" si="19"/>
        <v>94.50693825942304</v>
      </c>
      <c r="AN13" s="48">
        <f t="shared" si="20"/>
        <v>2164494.057252992</v>
      </c>
      <c r="AO13" s="48">
        <f t="shared" si="21"/>
        <v>3607.490095421653</v>
      </c>
      <c r="AP13" s="46">
        <f t="shared" si="22"/>
        <v>0.1790906914122196</v>
      </c>
      <c r="AQ13" s="23">
        <f t="shared" si="23"/>
        <v>267.73334161536667</v>
      </c>
      <c r="AR13" s="33">
        <f t="shared" si="24"/>
        <v>0.47752</v>
      </c>
      <c r="AS13" s="35">
        <f t="shared" si="25"/>
        <v>12784.802528816987</v>
      </c>
      <c r="AT13" s="47">
        <f t="shared" si="26"/>
        <v>0.029717589307072224</v>
      </c>
      <c r="AU13" s="35">
        <f t="shared" si="27"/>
        <v>51.962785104040805</v>
      </c>
      <c r="AV13" s="35">
        <f t="shared" si="28"/>
        <v>168.09511083187414</v>
      </c>
      <c r="AW13" s="66">
        <f>AW12</f>
        <v>0.76</v>
      </c>
      <c r="AX13" s="20">
        <v>1</v>
      </c>
      <c r="AY13" s="23">
        <f t="shared" si="29"/>
        <v>0.76</v>
      </c>
      <c r="AZ13" s="48">
        <f t="shared" si="30"/>
        <v>0.004984051036682616</v>
      </c>
      <c r="BA13" s="23" t="s">
        <v>111</v>
      </c>
      <c r="BB13" s="35">
        <f t="shared" si="31"/>
        <v>6077.1</v>
      </c>
      <c r="BC13" s="47">
        <v>0.75</v>
      </c>
      <c r="BD13" s="35">
        <f t="shared" si="32"/>
        <v>71.21601562500001</v>
      </c>
      <c r="BF13" s="1" t="s">
        <v>136</v>
      </c>
      <c r="BG13" s="33">
        <f>W22</f>
        <v>0.5194564257976872</v>
      </c>
      <c r="BH13" s="35">
        <f>2*PI()*N22/12*U22</f>
        <v>175.92918860102841</v>
      </c>
      <c r="BI13" s="35">
        <f t="shared" si="33"/>
        <v>35.070811398971586</v>
      </c>
      <c r="BJ13" s="35">
        <f t="shared" si="34"/>
        <v>19.934617829963997</v>
      </c>
      <c r="BK13" s="35">
        <v>211</v>
      </c>
      <c r="BL13" s="35">
        <f t="shared" si="35"/>
        <v>424.8739328370314</v>
      </c>
      <c r="BM13" s="1">
        <v>2</v>
      </c>
      <c r="BN13" s="35">
        <f t="shared" si="36"/>
        <v>849.7478656740628</v>
      </c>
    </row>
    <row r="14" spans="1:56" ht="12">
      <c r="A14" s="14" t="s">
        <v>137</v>
      </c>
      <c r="B14" s="24">
        <v>0.394</v>
      </c>
      <c r="C14" s="24">
        <v>0.63</v>
      </c>
      <c r="D14" s="24">
        <v>0.188</v>
      </c>
      <c r="E14" s="24">
        <v>0</v>
      </c>
      <c r="F14" s="24">
        <v>0.039</v>
      </c>
      <c r="G14" s="24">
        <v>0.064</v>
      </c>
      <c r="H14" s="24">
        <v>0.064</v>
      </c>
      <c r="I14" s="24">
        <v>120.8761</v>
      </c>
      <c r="J14" s="15">
        <f t="shared" si="0"/>
        <v>60.18805</v>
      </c>
      <c r="K14" s="26">
        <v>1</v>
      </c>
      <c r="L14" s="15">
        <f t="shared" si="1"/>
        <v>10.448</v>
      </c>
      <c r="M14" s="24">
        <v>5.224</v>
      </c>
      <c r="N14" s="28">
        <f t="shared" si="2"/>
        <v>5.421</v>
      </c>
      <c r="O14" s="28">
        <f t="shared" si="3"/>
        <v>0.394</v>
      </c>
      <c r="P14" s="28">
        <f t="shared" si="4"/>
        <v>11.236</v>
      </c>
      <c r="Q14" s="24">
        <v>0</v>
      </c>
      <c r="R14" s="28">
        <f t="shared" si="5"/>
        <v>41.9120067</v>
      </c>
      <c r="S14" s="17">
        <f t="shared" si="6"/>
        <v>83.8240134</v>
      </c>
      <c r="T14" s="4">
        <f t="shared" si="7"/>
        <v>83.8560134</v>
      </c>
      <c r="U14" s="59">
        <f t="shared" si="8"/>
        <v>60.18805</v>
      </c>
      <c r="V14" s="17">
        <f t="shared" si="9"/>
        <v>33.0266612796</v>
      </c>
      <c r="W14" s="17">
        <f t="shared" si="10"/>
        <v>0.21915524973899067</v>
      </c>
      <c r="X14" s="17">
        <f t="shared" si="11"/>
        <v>13.190527129052857</v>
      </c>
      <c r="Y14" s="18">
        <f t="shared" si="12"/>
        <v>2050.074051810051</v>
      </c>
      <c r="Z14" s="17">
        <f t="shared" si="13"/>
        <v>0.399390268891649</v>
      </c>
      <c r="AA14" s="18">
        <f t="shared" si="14"/>
        <v>0.0060889137512584275</v>
      </c>
      <c r="AB14" s="19">
        <f t="shared" si="15"/>
        <v>25406.649743623606</v>
      </c>
      <c r="AC14" s="20" t="s">
        <v>111</v>
      </c>
      <c r="AD14" s="18" t="s">
        <v>111</v>
      </c>
      <c r="AE14" s="20" t="s">
        <v>111</v>
      </c>
      <c r="AF14" s="19"/>
      <c r="AG14" s="23">
        <v>24</v>
      </c>
      <c r="AH14" s="63">
        <v>0.525</v>
      </c>
      <c r="AI14" s="19">
        <f t="shared" si="16"/>
        <v>302400000</v>
      </c>
      <c r="AJ14" s="48" t="s">
        <v>111</v>
      </c>
      <c r="AK14" s="48">
        <f t="shared" si="17"/>
        <v>15126664114914342</v>
      </c>
      <c r="AL14" s="23">
        <f t="shared" si="18"/>
        <v>10</v>
      </c>
      <c r="AM14" s="23">
        <f t="shared" si="19"/>
        <v>94.50693825942304</v>
      </c>
      <c r="AN14" s="48">
        <f t="shared" si="20"/>
        <v>2169038.410218881</v>
      </c>
      <c r="AO14" s="48">
        <f t="shared" si="21"/>
        <v>3615.064017031468</v>
      </c>
      <c r="AP14" s="46">
        <f t="shared" si="22"/>
        <v>0.1790906914122196</v>
      </c>
      <c r="AQ14" s="23">
        <f t="shared" si="23"/>
        <v>267.73334161536667</v>
      </c>
      <c r="AR14" s="33">
        <f t="shared" si="24"/>
        <v>0.47752</v>
      </c>
      <c r="AS14" s="35">
        <f t="shared" si="25"/>
        <v>12784.802528816987</v>
      </c>
      <c r="AT14" s="47">
        <f t="shared" si="26"/>
        <v>0.029717589307072224</v>
      </c>
      <c r="AU14" s="35">
        <f t="shared" si="27"/>
        <v>52.0718809159753</v>
      </c>
      <c r="AV14" s="35">
        <f t="shared" si="28"/>
        <v>168.44802633787913</v>
      </c>
      <c r="AW14" s="66">
        <f>AW12</f>
        <v>0.76</v>
      </c>
      <c r="AX14" s="20">
        <v>1</v>
      </c>
      <c r="AY14" s="23">
        <f t="shared" si="29"/>
        <v>0.76</v>
      </c>
      <c r="AZ14" s="48">
        <f t="shared" si="30"/>
        <v>0.004984051036682616</v>
      </c>
      <c r="BA14" s="23">
        <f>(AB14+AB15)*AZ14</f>
        <v>252.99077954758562</v>
      </c>
      <c r="BB14" s="35">
        <f t="shared" si="31"/>
        <v>6077.1</v>
      </c>
      <c r="BC14" s="47">
        <v>0.75</v>
      </c>
      <c r="BD14" s="35">
        <f t="shared" si="32"/>
        <v>71.21601562500001</v>
      </c>
    </row>
    <row r="15" spans="1:67" ht="12">
      <c r="A15" s="14" t="s">
        <v>138</v>
      </c>
      <c r="B15" s="24">
        <v>0.394</v>
      </c>
      <c r="C15" s="24">
        <v>0.63</v>
      </c>
      <c r="D15" s="24">
        <v>0.188</v>
      </c>
      <c r="E15" s="24">
        <v>0</v>
      </c>
      <c r="F15" s="24">
        <v>0.039</v>
      </c>
      <c r="G15" s="24">
        <v>0.064</v>
      </c>
      <c r="H15" s="24">
        <v>0.064</v>
      </c>
      <c r="I15" s="24">
        <v>120.6239</v>
      </c>
      <c r="J15" s="15">
        <f t="shared" si="0"/>
        <v>60.06195</v>
      </c>
      <c r="K15" s="26">
        <v>1</v>
      </c>
      <c r="L15" s="15">
        <f t="shared" si="1"/>
        <v>10.448</v>
      </c>
      <c r="M15" s="24">
        <v>5.224</v>
      </c>
      <c r="N15" s="28">
        <f t="shared" si="2"/>
        <v>5.421</v>
      </c>
      <c r="O15" s="28">
        <f t="shared" si="3"/>
        <v>0.394</v>
      </c>
      <c r="P15" s="28">
        <f t="shared" si="4"/>
        <v>11.236</v>
      </c>
      <c r="Q15" s="24">
        <v>0</v>
      </c>
      <c r="R15" s="28">
        <f t="shared" si="5"/>
        <v>41.8244933</v>
      </c>
      <c r="S15" s="17">
        <f t="shared" si="6"/>
        <v>83.6489866</v>
      </c>
      <c r="T15" s="4">
        <f t="shared" si="7"/>
        <v>83.6809866</v>
      </c>
      <c r="U15" s="59">
        <f t="shared" si="8"/>
        <v>60.06195</v>
      </c>
      <c r="V15" s="17">
        <f t="shared" si="9"/>
        <v>32.9577007204</v>
      </c>
      <c r="W15" s="17">
        <f t="shared" si="10"/>
        <v>0.21915524973899067</v>
      </c>
      <c r="X15" s="17">
        <f t="shared" si="11"/>
        <v>13.162891652060772</v>
      </c>
      <c r="Y15" s="18">
        <f t="shared" si="12"/>
        <v>2045.7789411039687</v>
      </c>
      <c r="Z15" s="17">
        <f t="shared" si="13"/>
        <v>0.3993874379687315</v>
      </c>
      <c r="AA15" s="18">
        <f t="shared" si="14"/>
        <v>0.006076156866394512</v>
      </c>
      <c r="AB15" s="19">
        <f t="shared" si="15"/>
        <v>25353.420264803965</v>
      </c>
      <c r="AC15" s="20" t="s">
        <v>111</v>
      </c>
      <c r="AD15" s="18" t="s">
        <v>111</v>
      </c>
      <c r="AE15" s="20" t="s">
        <v>111</v>
      </c>
      <c r="AF15" s="19"/>
      <c r="AG15" s="23">
        <v>24</v>
      </c>
      <c r="AH15" s="63">
        <v>0.525</v>
      </c>
      <c r="AI15" s="19">
        <f t="shared" si="16"/>
        <v>302400000</v>
      </c>
      <c r="AJ15" s="48" t="s">
        <v>111</v>
      </c>
      <c r="AK15" s="48">
        <f t="shared" si="17"/>
        <v>15126664114914342</v>
      </c>
      <c r="AL15" s="23">
        <f t="shared" si="18"/>
        <v>10</v>
      </c>
      <c r="AM15" s="23">
        <f t="shared" si="19"/>
        <v>94.50693825942304</v>
      </c>
      <c r="AN15" s="48">
        <f t="shared" si="20"/>
        <v>2164494.057252992</v>
      </c>
      <c r="AO15" s="48">
        <f t="shared" si="21"/>
        <v>3607.490095421653</v>
      </c>
      <c r="AP15" s="46">
        <f t="shared" si="22"/>
        <v>0.1790906914122196</v>
      </c>
      <c r="AQ15" s="23">
        <f t="shared" si="23"/>
        <v>267.73334161536667</v>
      </c>
      <c r="AR15" s="33">
        <f t="shared" si="24"/>
        <v>0.47752</v>
      </c>
      <c r="AS15" s="35">
        <f t="shared" si="25"/>
        <v>12784.802528816987</v>
      </c>
      <c r="AT15" s="47">
        <f t="shared" si="26"/>
        <v>0.029717589307072224</v>
      </c>
      <c r="AU15" s="35">
        <f t="shared" si="27"/>
        <v>51.962785104040805</v>
      </c>
      <c r="AV15" s="35">
        <f t="shared" si="28"/>
        <v>168.09511083187414</v>
      </c>
      <c r="AW15" s="66">
        <f>AW12</f>
        <v>0.76</v>
      </c>
      <c r="AX15" s="20">
        <v>1</v>
      </c>
      <c r="AY15" s="23">
        <f t="shared" si="29"/>
        <v>0.76</v>
      </c>
      <c r="AZ15" s="48">
        <f t="shared" si="30"/>
        <v>0.004984051036682616</v>
      </c>
      <c r="BA15" s="23" t="s">
        <v>111</v>
      </c>
      <c r="BB15" s="35">
        <f t="shared" si="31"/>
        <v>6077.1</v>
      </c>
      <c r="BC15" s="47">
        <v>0.75</v>
      </c>
      <c r="BD15" s="35">
        <f t="shared" si="32"/>
        <v>71.21601562500001</v>
      </c>
      <c r="BM15" s="1" t="s">
        <v>139</v>
      </c>
      <c r="BN15" s="35">
        <f>SUM(BN4:BN14)</f>
        <v>7045.998229516118</v>
      </c>
      <c r="BO15" s="1" t="s">
        <v>140</v>
      </c>
    </row>
    <row r="16" spans="1:56" ht="12">
      <c r="A16" s="14" t="s">
        <v>141</v>
      </c>
      <c r="B16" s="24">
        <v>0.394</v>
      </c>
      <c r="C16" s="24">
        <v>0.63</v>
      </c>
      <c r="D16" s="24">
        <v>0.188</v>
      </c>
      <c r="E16" s="24">
        <v>0</v>
      </c>
      <c r="F16" s="24">
        <v>0.039</v>
      </c>
      <c r="G16" s="24">
        <v>0.064</v>
      </c>
      <c r="H16" s="24">
        <v>0.064</v>
      </c>
      <c r="I16" s="24">
        <v>118.3761</v>
      </c>
      <c r="J16" s="15">
        <f t="shared" si="0"/>
        <v>58.93805</v>
      </c>
      <c r="K16" s="26">
        <v>1</v>
      </c>
      <c r="L16" s="15">
        <f t="shared" si="1"/>
        <v>11.364</v>
      </c>
      <c r="M16" s="24">
        <v>5.682</v>
      </c>
      <c r="N16" s="28">
        <f t="shared" si="2"/>
        <v>5.8790000000000004</v>
      </c>
      <c r="O16" s="28">
        <f t="shared" si="3"/>
        <v>0.394</v>
      </c>
      <c r="P16" s="28">
        <f t="shared" si="4"/>
        <v>12.152000000000001</v>
      </c>
      <c r="Q16" s="24">
        <v>0</v>
      </c>
      <c r="R16" s="28">
        <f t="shared" si="5"/>
        <v>41.0445067</v>
      </c>
      <c r="S16" s="17">
        <f t="shared" si="6"/>
        <v>82.0890134</v>
      </c>
      <c r="T16" s="4">
        <f t="shared" si="7"/>
        <v>82.1210134</v>
      </c>
      <c r="U16" s="59">
        <f t="shared" si="8"/>
        <v>58.93805</v>
      </c>
      <c r="V16" s="17">
        <f t="shared" si="9"/>
        <v>32.343071279600004</v>
      </c>
      <c r="W16" s="17">
        <f t="shared" si="10"/>
        <v>0.21915524973899067</v>
      </c>
      <c r="X16" s="17">
        <f t="shared" si="11"/>
        <v>12.916583066879118</v>
      </c>
      <c r="Y16" s="18">
        <f t="shared" si="12"/>
        <v>2177.103577297843</v>
      </c>
      <c r="Z16" s="17">
        <f t="shared" si="13"/>
        <v>0.39936167333082234</v>
      </c>
      <c r="AA16" s="18">
        <f t="shared" si="14"/>
        <v>0.006466203451538051</v>
      </c>
      <c r="AB16" s="19">
        <f t="shared" si="15"/>
        <v>26980.931735202154</v>
      </c>
      <c r="AC16" s="20" t="s">
        <v>111</v>
      </c>
      <c r="AD16" s="18" t="s">
        <v>111</v>
      </c>
      <c r="AE16" s="20" t="s">
        <v>111</v>
      </c>
      <c r="AF16" s="19" t="s">
        <v>111</v>
      </c>
      <c r="AG16" s="23">
        <v>24</v>
      </c>
      <c r="AH16" s="63">
        <v>0.525</v>
      </c>
      <c r="AI16" s="19">
        <f t="shared" si="16"/>
        <v>302400000</v>
      </c>
      <c r="AJ16" s="48" t="s">
        <v>111</v>
      </c>
      <c r="AK16" s="48">
        <f t="shared" si="17"/>
        <v>15126664114914342</v>
      </c>
      <c r="AL16" s="23">
        <f t="shared" si="18"/>
        <v>10</v>
      </c>
      <c r="AM16" s="23">
        <f t="shared" si="19"/>
        <v>94.50693825942304</v>
      </c>
      <c r="AN16" s="48">
        <f t="shared" si="20"/>
        <v>2303439.369916715</v>
      </c>
      <c r="AO16" s="48">
        <f t="shared" si="21"/>
        <v>3839.0656165278588</v>
      </c>
      <c r="AP16" s="46">
        <f t="shared" si="22"/>
        <v>0.1790906914122196</v>
      </c>
      <c r="AQ16" s="23">
        <f t="shared" si="23"/>
        <v>285.70639984065247</v>
      </c>
      <c r="AR16" s="33">
        <f t="shared" si="24"/>
        <v>0.47752</v>
      </c>
      <c r="AS16" s="35">
        <f t="shared" si="25"/>
        <v>13643.052005190837</v>
      </c>
      <c r="AT16" s="47">
        <f t="shared" si="26"/>
        <v>0.029238776729302786</v>
      </c>
      <c r="AU16" s="35">
        <f t="shared" si="27"/>
        <v>55.29843086336521</v>
      </c>
      <c r="AV16" s="35">
        <f t="shared" si="28"/>
        <v>200.42694756689292</v>
      </c>
      <c r="AW16" s="12">
        <v>0.8110191378063062</v>
      </c>
      <c r="AX16" s="20">
        <v>1</v>
      </c>
      <c r="AY16" s="23">
        <f t="shared" si="29"/>
        <v>0.8110191378063062</v>
      </c>
      <c r="AZ16" s="48">
        <f t="shared" si="30"/>
        <v>0.004670517144792012</v>
      </c>
      <c r="BA16" s="23">
        <f>(AB16+AB17)*AZ16</f>
        <v>252.29471795730427</v>
      </c>
      <c r="BB16" s="35">
        <f t="shared" si="31"/>
        <v>6077.1</v>
      </c>
      <c r="BC16" s="47">
        <v>0.495</v>
      </c>
      <c r="BD16" s="35">
        <f t="shared" si="32"/>
        <v>47.002570312500005</v>
      </c>
    </row>
    <row r="17" spans="1:56" ht="12">
      <c r="A17" s="14" t="s">
        <v>142</v>
      </c>
      <c r="B17" s="24">
        <v>0.394</v>
      </c>
      <c r="C17" s="24">
        <v>0.63</v>
      </c>
      <c r="D17" s="24">
        <v>0.188</v>
      </c>
      <c r="E17" s="24">
        <v>0</v>
      </c>
      <c r="F17" s="24">
        <v>0.039</v>
      </c>
      <c r="G17" s="24">
        <v>0.064</v>
      </c>
      <c r="H17" s="24">
        <v>0.064</v>
      </c>
      <c r="I17" s="24">
        <v>118.6239</v>
      </c>
      <c r="J17" s="15">
        <f t="shared" si="0"/>
        <v>59.06195</v>
      </c>
      <c r="K17" s="26">
        <v>1</v>
      </c>
      <c r="L17" s="15">
        <f t="shared" si="1"/>
        <v>11.364</v>
      </c>
      <c r="M17" s="24">
        <v>5.682</v>
      </c>
      <c r="N17" s="28">
        <f t="shared" si="2"/>
        <v>5.8790000000000004</v>
      </c>
      <c r="O17" s="28">
        <f t="shared" si="3"/>
        <v>0.394</v>
      </c>
      <c r="P17" s="28">
        <f t="shared" si="4"/>
        <v>12.152000000000001</v>
      </c>
      <c r="Q17" s="24">
        <v>0</v>
      </c>
      <c r="R17" s="28">
        <f t="shared" si="5"/>
        <v>41.130493300000005</v>
      </c>
      <c r="S17" s="17">
        <f t="shared" si="6"/>
        <v>82.26098660000001</v>
      </c>
      <c r="T17" s="4">
        <f t="shared" si="7"/>
        <v>82.2929866</v>
      </c>
      <c r="U17" s="59">
        <f t="shared" si="8"/>
        <v>59.06195</v>
      </c>
      <c r="V17" s="17">
        <f t="shared" si="9"/>
        <v>32.410828720400005</v>
      </c>
      <c r="W17" s="17">
        <f t="shared" si="10"/>
        <v>0.21915524973899067</v>
      </c>
      <c r="X17" s="17">
        <f t="shared" si="11"/>
        <v>12.94373640232178</v>
      </c>
      <c r="Y17" s="18">
        <f t="shared" si="12"/>
        <v>2181.680300369394</v>
      </c>
      <c r="Z17" s="17">
        <f t="shared" si="13"/>
        <v>0.39936456157860417</v>
      </c>
      <c r="AA17" s="18">
        <f t="shared" si="14"/>
        <v>0.006479796751751507</v>
      </c>
      <c r="AB17" s="19">
        <f t="shared" si="15"/>
        <v>27037.651247333823</v>
      </c>
      <c r="AC17" s="20" t="s">
        <v>111</v>
      </c>
      <c r="AD17" s="18" t="s">
        <v>111</v>
      </c>
      <c r="AE17" s="20" t="s">
        <v>111</v>
      </c>
      <c r="AF17" s="19" t="s">
        <v>111</v>
      </c>
      <c r="AG17" s="23">
        <v>24</v>
      </c>
      <c r="AH17" s="63">
        <v>0.525</v>
      </c>
      <c r="AI17" s="19">
        <f t="shared" si="16"/>
        <v>302400000</v>
      </c>
      <c r="AJ17" s="48" t="s">
        <v>111</v>
      </c>
      <c r="AK17" s="48">
        <f t="shared" si="17"/>
        <v>15126664114914342</v>
      </c>
      <c r="AL17" s="23">
        <f t="shared" si="18"/>
        <v>10</v>
      </c>
      <c r="AM17" s="23">
        <f t="shared" si="19"/>
        <v>94.50693825942304</v>
      </c>
      <c r="AN17" s="48">
        <f t="shared" si="20"/>
        <v>2308281.6770159947</v>
      </c>
      <c r="AO17" s="48">
        <f t="shared" si="21"/>
        <v>3847.1361283599913</v>
      </c>
      <c r="AP17" s="46">
        <f t="shared" si="22"/>
        <v>0.1790906914122196</v>
      </c>
      <c r="AQ17" s="23">
        <f t="shared" si="23"/>
        <v>285.70639984065247</v>
      </c>
      <c r="AR17" s="33">
        <f t="shared" si="24"/>
        <v>0.47752</v>
      </c>
      <c r="AS17" s="35">
        <f t="shared" si="25"/>
        <v>13643.052005190837</v>
      </c>
      <c r="AT17" s="47">
        <f t="shared" si="26"/>
        <v>0.029238776729302786</v>
      </c>
      <c r="AU17" s="35">
        <f t="shared" si="27"/>
        <v>55.41467962938261</v>
      </c>
      <c r="AV17" s="35">
        <f t="shared" si="28"/>
        <v>200.84828656272902</v>
      </c>
      <c r="AW17" s="66">
        <f>AW16</f>
        <v>0.8110191378063062</v>
      </c>
      <c r="AX17" s="20">
        <v>1</v>
      </c>
      <c r="AY17" s="23">
        <f t="shared" si="29"/>
        <v>0.8110191378063062</v>
      </c>
      <c r="AZ17" s="48">
        <f t="shared" si="30"/>
        <v>0.004670517144792012</v>
      </c>
      <c r="BA17" s="23" t="s">
        <v>111</v>
      </c>
      <c r="BB17" s="35">
        <f t="shared" si="31"/>
        <v>6077.1</v>
      </c>
      <c r="BC17" s="47">
        <v>0.495</v>
      </c>
      <c r="BD17" s="35">
        <f t="shared" si="32"/>
        <v>47.002570312500005</v>
      </c>
    </row>
    <row r="18" spans="1:56" ht="12">
      <c r="A18" s="14" t="s">
        <v>143</v>
      </c>
      <c r="B18" s="24">
        <v>0.394</v>
      </c>
      <c r="C18" s="24">
        <v>0.63</v>
      </c>
      <c r="D18" s="24">
        <v>0.188</v>
      </c>
      <c r="E18" s="24">
        <v>0</v>
      </c>
      <c r="F18" s="24">
        <v>0.039</v>
      </c>
      <c r="G18" s="24">
        <v>0.064</v>
      </c>
      <c r="H18" s="24">
        <v>0.064</v>
      </c>
      <c r="I18" s="24">
        <v>118.3761</v>
      </c>
      <c r="J18" s="15">
        <f t="shared" si="0"/>
        <v>58.93805</v>
      </c>
      <c r="K18" s="26">
        <v>1</v>
      </c>
      <c r="L18" s="15">
        <f t="shared" si="1"/>
        <v>11.364</v>
      </c>
      <c r="M18" s="24">
        <v>5.682</v>
      </c>
      <c r="N18" s="28">
        <f t="shared" si="2"/>
        <v>5.8790000000000004</v>
      </c>
      <c r="O18" s="28">
        <f t="shared" si="3"/>
        <v>0.394</v>
      </c>
      <c r="P18" s="28">
        <f t="shared" si="4"/>
        <v>12.152000000000001</v>
      </c>
      <c r="Q18" s="24">
        <v>0</v>
      </c>
      <c r="R18" s="28">
        <f t="shared" si="5"/>
        <v>41.0445067</v>
      </c>
      <c r="S18" s="17">
        <f t="shared" si="6"/>
        <v>82.0890134</v>
      </c>
      <c r="T18" s="4">
        <f t="shared" si="7"/>
        <v>82.1210134</v>
      </c>
      <c r="U18" s="59">
        <f t="shared" si="8"/>
        <v>58.93805</v>
      </c>
      <c r="V18" s="17">
        <f t="shared" si="9"/>
        <v>32.343071279600004</v>
      </c>
      <c r="W18" s="17">
        <f t="shared" si="10"/>
        <v>0.21915524973899067</v>
      </c>
      <c r="X18" s="17">
        <f t="shared" si="11"/>
        <v>12.916583066879118</v>
      </c>
      <c r="Y18" s="18">
        <f t="shared" si="12"/>
        <v>2177.103577297843</v>
      </c>
      <c r="Z18" s="17">
        <f t="shared" si="13"/>
        <v>0.39936167333082234</v>
      </c>
      <c r="AA18" s="18">
        <f t="shared" si="14"/>
        <v>0.006466203451538051</v>
      </c>
      <c r="AB18" s="19">
        <f t="shared" si="15"/>
        <v>26980.931735202154</v>
      </c>
      <c r="AC18" s="20" t="s">
        <v>111</v>
      </c>
      <c r="AD18" s="18" t="s">
        <v>111</v>
      </c>
      <c r="AE18" s="20" t="s">
        <v>111</v>
      </c>
      <c r="AF18" s="19" t="s">
        <v>111</v>
      </c>
      <c r="AG18" s="23">
        <v>24</v>
      </c>
      <c r="AH18" s="63">
        <v>0.525</v>
      </c>
      <c r="AI18" s="19">
        <f t="shared" si="16"/>
        <v>302400000</v>
      </c>
      <c r="AJ18" s="48" t="s">
        <v>111</v>
      </c>
      <c r="AK18" s="48">
        <f t="shared" si="17"/>
        <v>15126664114914342</v>
      </c>
      <c r="AL18" s="23">
        <f t="shared" si="18"/>
        <v>10</v>
      </c>
      <c r="AM18" s="23">
        <f t="shared" si="19"/>
        <v>94.50693825942304</v>
      </c>
      <c r="AN18" s="48">
        <f t="shared" si="20"/>
        <v>2303439.369916715</v>
      </c>
      <c r="AO18" s="48">
        <f t="shared" si="21"/>
        <v>3839.0656165278588</v>
      </c>
      <c r="AP18" s="46">
        <f t="shared" si="22"/>
        <v>0.1790906914122196</v>
      </c>
      <c r="AQ18" s="23">
        <f t="shared" si="23"/>
        <v>285.70639984065247</v>
      </c>
      <c r="AR18" s="33">
        <f t="shared" si="24"/>
        <v>0.47752</v>
      </c>
      <c r="AS18" s="35">
        <f t="shared" si="25"/>
        <v>13643.052005190837</v>
      </c>
      <c r="AT18" s="47">
        <f t="shared" si="26"/>
        <v>0.029238776729302786</v>
      </c>
      <c r="AU18" s="35">
        <f t="shared" si="27"/>
        <v>55.29843086336521</v>
      </c>
      <c r="AV18" s="35">
        <f t="shared" si="28"/>
        <v>200.42694756689292</v>
      </c>
      <c r="AW18" s="66">
        <f>AW16</f>
        <v>0.8110191378063062</v>
      </c>
      <c r="AX18" s="20">
        <v>1</v>
      </c>
      <c r="AY18" s="23">
        <f t="shared" si="29"/>
        <v>0.8110191378063062</v>
      </c>
      <c r="AZ18" s="48">
        <f t="shared" si="30"/>
        <v>0.004670517144792012</v>
      </c>
      <c r="BA18" s="23">
        <f>(AB18+AB19)*AZ18</f>
        <v>252.29471795730427</v>
      </c>
      <c r="BB18" s="35">
        <f t="shared" si="31"/>
        <v>6077.1</v>
      </c>
      <c r="BC18" s="47">
        <v>0.495</v>
      </c>
      <c r="BD18" s="35">
        <f t="shared" si="32"/>
        <v>47.002570312500005</v>
      </c>
    </row>
    <row r="19" spans="1:56" ht="12">
      <c r="A19" s="14" t="s">
        <v>144</v>
      </c>
      <c r="B19" s="24">
        <v>0.394</v>
      </c>
      <c r="C19" s="24">
        <v>0.63</v>
      </c>
      <c r="D19" s="24">
        <v>0.188</v>
      </c>
      <c r="E19" s="24">
        <v>0</v>
      </c>
      <c r="F19" s="24">
        <v>0.039</v>
      </c>
      <c r="G19" s="24">
        <v>0.064</v>
      </c>
      <c r="H19" s="24">
        <v>0.064</v>
      </c>
      <c r="I19" s="24">
        <v>118.6239</v>
      </c>
      <c r="J19" s="15">
        <f t="shared" si="0"/>
        <v>59.06195</v>
      </c>
      <c r="K19" s="26">
        <v>1</v>
      </c>
      <c r="L19" s="15">
        <f t="shared" si="1"/>
        <v>11.364</v>
      </c>
      <c r="M19" s="24">
        <v>5.682</v>
      </c>
      <c r="N19" s="28">
        <f t="shared" si="2"/>
        <v>5.8790000000000004</v>
      </c>
      <c r="O19" s="28">
        <f t="shared" si="3"/>
        <v>0.394</v>
      </c>
      <c r="P19" s="28">
        <f t="shared" si="4"/>
        <v>12.152000000000001</v>
      </c>
      <c r="Q19" s="24">
        <v>0</v>
      </c>
      <c r="R19" s="28">
        <f t="shared" si="5"/>
        <v>41.130493300000005</v>
      </c>
      <c r="S19" s="17">
        <f t="shared" si="6"/>
        <v>82.26098660000001</v>
      </c>
      <c r="T19" s="4">
        <f t="shared" si="7"/>
        <v>82.2929866</v>
      </c>
      <c r="U19" s="59">
        <f t="shared" si="8"/>
        <v>59.06195</v>
      </c>
      <c r="V19" s="17">
        <f t="shared" si="9"/>
        <v>32.410828720400005</v>
      </c>
      <c r="W19" s="17">
        <f t="shared" si="10"/>
        <v>0.21915524973899067</v>
      </c>
      <c r="X19" s="17">
        <f t="shared" si="11"/>
        <v>12.94373640232178</v>
      </c>
      <c r="Y19" s="18">
        <f t="shared" si="12"/>
        <v>2181.680300369394</v>
      </c>
      <c r="Z19" s="17">
        <f t="shared" si="13"/>
        <v>0.39936456157860417</v>
      </c>
      <c r="AA19" s="18">
        <f t="shared" si="14"/>
        <v>0.006479796751751507</v>
      </c>
      <c r="AB19" s="19">
        <f t="shared" si="15"/>
        <v>27037.651247333823</v>
      </c>
      <c r="AC19" s="20">
        <v>1</v>
      </c>
      <c r="AD19" s="18" t="s">
        <v>145</v>
      </c>
      <c r="AE19" s="20">
        <f>SUM(U4:U19)</f>
        <v>963</v>
      </c>
      <c r="AF19" s="19">
        <f>SUM(AA4:AA19)</f>
        <v>0.09317812554745278</v>
      </c>
      <c r="AG19" s="23">
        <v>24</v>
      </c>
      <c r="AH19" s="63">
        <v>0.525</v>
      </c>
      <c r="AI19" s="19">
        <f t="shared" si="16"/>
        <v>302400000</v>
      </c>
      <c r="AJ19" s="48">
        <f>MAX(AI5:AI19)</f>
        <v>302400000</v>
      </c>
      <c r="AK19" s="48">
        <f t="shared" si="17"/>
        <v>15126664114914342</v>
      </c>
      <c r="AL19" s="23">
        <f t="shared" si="18"/>
        <v>10</v>
      </c>
      <c r="AM19" s="23">
        <f t="shared" si="19"/>
        <v>94.50693825942304</v>
      </c>
      <c r="AN19" s="48">
        <f t="shared" si="20"/>
        <v>2308281.6770159947</v>
      </c>
      <c r="AO19" s="48">
        <f t="shared" si="21"/>
        <v>3847.1361283599913</v>
      </c>
      <c r="AP19" s="46">
        <f t="shared" si="22"/>
        <v>0.1790906914122196</v>
      </c>
      <c r="AQ19" s="23">
        <f t="shared" si="23"/>
        <v>285.70639984065247</v>
      </c>
      <c r="AR19" s="33">
        <f t="shared" si="24"/>
        <v>0.47752</v>
      </c>
      <c r="AS19" s="35">
        <f t="shared" si="25"/>
        <v>13643.052005190837</v>
      </c>
      <c r="AT19" s="47">
        <f t="shared" si="26"/>
        <v>0.029238776729302786</v>
      </c>
      <c r="AU19" s="35">
        <f t="shared" si="27"/>
        <v>55.41467962938261</v>
      </c>
      <c r="AV19" s="35">
        <f t="shared" si="28"/>
        <v>200.84828656272902</v>
      </c>
      <c r="AW19" s="66">
        <f>AW16</f>
        <v>0.8110191378063062</v>
      </c>
      <c r="AX19" s="20">
        <v>1</v>
      </c>
      <c r="AY19" s="23">
        <f t="shared" si="29"/>
        <v>0.8110191378063062</v>
      </c>
      <c r="AZ19" s="48">
        <f t="shared" si="30"/>
        <v>0.004670517144792012</v>
      </c>
      <c r="BA19" s="23" t="s">
        <v>111</v>
      </c>
      <c r="BB19" s="35">
        <f t="shared" si="31"/>
        <v>6077.1</v>
      </c>
      <c r="BC19" s="47">
        <v>0.495</v>
      </c>
      <c r="BD19" s="35">
        <f t="shared" si="32"/>
        <v>47.002570312500005</v>
      </c>
    </row>
    <row r="20" spans="1:56" ht="12">
      <c r="A20" s="14" t="s">
        <v>146</v>
      </c>
      <c r="B20" s="24">
        <v>0.394</v>
      </c>
      <c r="C20" s="24">
        <v>0.63</v>
      </c>
      <c r="D20" s="24">
        <v>0.188</v>
      </c>
      <c r="E20" s="24">
        <v>0</v>
      </c>
      <c r="F20" s="24">
        <v>0.039</v>
      </c>
      <c r="G20" s="24">
        <v>0.064</v>
      </c>
      <c r="H20" s="24">
        <v>0.064</v>
      </c>
      <c r="I20" s="24">
        <v>121</v>
      </c>
      <c r="J20" s="15">
        <f>I20-1/2</f>
        <v>120.5</v>
      </c>
      <c r="K20" s="26">
        <v>4</v>
      </c>
      <c r="L20" s="15">
        <f t="shared" si="1"/>
        <v>8.616</v>
      </c>
      <c r="M20" s="24">
        <f>M4</f>
        <v>4.308</v>
      </c>
      <c r="N20" s="28">
        <f t="shared" si="2"/>
        <v>5.192</v>
      </c>
      <c r="O20" s="28">
        <f t="shared" si="3"/>
        <v>1.768</v>
      </c>
      <c r="P20" s="28">
        <f t="shared" si="4"/>
        <v>12.152</v>
      </c>
      <c r="Q20" s="24">
        <v>0</v>
      </c>
      <c r="R20" s="28">
        <f t="shared" si="5"/>
        <v>41.955</v>
      </c>
      <c r="S20" s="17">
        <f t="shared" si="6"/>
        <v>83.91</v>
      </c>
      <c r="T20" s="4">
        <f t="shared" si="7"/>
        <v>83.942</v>
      </c>
      <c r="U20" s="59">
        <f t="shared" si="8"/>
        <v>482</v>
      </c>
      <c r="V20" s="17">
        <f t="shared" si="9"/>
        <v>148.35288</v>
      </c>
      <c r="W20" s="17">
        <f t="shared" si="10"/>
        <v>0.21915524973899067</v>
      </c>
      <c r="X20" s="17">
        <f t="shared" si="11"/>
        <v>105.6328303741935</v>
      </c>
      <c r="Y20" s="18">
        <f t="shared" si="12"/>
        <v>15723.947691370431</v>
      </c>
      <c r="Z20" s="17">
        <f t="shared" si="13"/>
        <v>0.7120376117685987</v>
      </c>
      <c r="AA20" s="18">
        <f t="shared" si="14"/>
        <v>0.0467016112113225</v>
      </c>
      <c r="AB20" s="19">
        <f t="shared" si="15"/>
        <v>194867.51282422576</v>
      </c>
      <c r="AC20" s="20">
        <v>1</v>
      </c>
      <c r="AD20" s="18" t="s">
        <v>145</v>
      </c>
      <c r="AE20" s="20">
        <f>2*U50</f>
        <v>964</v>
      </c>
      <c r="AF20" s="19">
        <f>2*AA20</f>
        <v>0.093403222422645</v>
      </c>
      <c r="AG20" s="23">
        <v>24</v>
      </c>
      <c r="AH20" s="63">
        <v>0.525</v>
      </c>
      <c r="AI20" s="19">
        <f t="shared" si="16"/>
        <v>302400000</v>
      </c>
      <c r="AJ20" s="48">
        <f>MAX(AI6:AI20)</f>
        <v>302400000</v>
      </c>
      <c r="AK20" s="48">
        <f t="shared" si="17"/>
        <v>15126664114914342</v>
      </c>
      <c r="AL20" s="23">
        <f t="shared" si="18"/>
        <v>10</v>
      </c>
      <c r="AM20" s="23">
        <f t="shared" si="19"/>
        <v>94.50693825942304</v>
      </c>
      <c r="AN20" s="48">
        <f t="shared" si="20"/>
        <v>16636397.340253256</v>
      </c>
      <c r="AO20" s="48">
        <f t="shared" si="21"/>
        <v>27727.328900422093</v>
      </c>
      <c r="AP20" s="46">
        <f t="shared" si="22"/>
        <v>0.1790906914122196</v>
      </c>
      <c r="AQ20" s="23">
        <f t="shared" si="23"/>
        <v>288.3676230321994</v>
      </c>
      <c r="AR20" s="33">
        <f t="shared" si="24"/>
        <v>0.47752</v>
      </c>
      <c r="AS20" s="35">
        <f t="shared" si="25"/>
        <v>13770.130735033586</v>
      </c>
      <c r="AT20" s="47">
        <f t="shared" si="26"/>
        <v>0.029171083925990236</v>
      </c>
      <c r="AU20" s="35">
        <f>Y50/100/8</f>
        <v>49.923533920101114</v>
      </c>
      <c r="AV20" s="35">
        <f t="shared" si="28"/>
        <v>183.90564068341277</v>
      </c>
      <c r="AW20" s="12">
        <v>0.8185734065924526</v>
      </c>
      <c r="AX20" s="20">
        <v>8</v>
      </c>
      <c r="AY20" s="23">
        <f t="shared" si="29"/>
        <v>6.548587252739621</v>
      </c>
      <c r="AZ20" s="48">
        <f t="shared" si="30"/>
        <v>0.004627414911567826</v>
      </c>
      <c r="BA20" s="23">
        <f>2*AB20/AX20*AZ20</f>
        <v>225.43320865573924</v>
      </c>
      <c r="BB20" s="35">
        <f t="shared" si="31"/>
        <v>6077.1</v>
      </c>
      <c r="BC20" s="47">
        <f>MAX(BC4:BC19)</f>
        <v>0.75</v>
      </c>
      <c r="BD20" s="35">
        <f t="shared" si="32"/>
        <v>71.21601562500001</v>
      </c>
    </row>
    <row r="21" spans="1:56" ht="12">
      <c r="A21" s="22" t="s">
        <v>134</v>
      </c>
      <c r="B21" s="24">
        <v>0.787</v>
      </c>
      <c r="C21" s="24">
        <v>0.787</v>
      </c>
      <c r="D21" s="24">
        <f>0.9/2.54</f>
        <v>0.3543307086614173</v>
      </c>
      <c r="E21" s="24">
        <v>0</v>
      </c>
      <c r="F21" s="24">
        <v>0.039</v>
      </c>
      <c r="G21" s="24">
        <v>0.064</v>
      </c>
      <c r="H21" s="24">
        <v>0.064</v>
      </c>
      <c r="I21" s="25">
        <v>25</v>
      </c>
      <c r="J21" s="16">
        <f>I21-1</f>
        <v>24</v>
      </c>
      <c r="K21" s="26">
        <v>2</v>
      </c>
      <c r="L21" s="15">
        <f t="shared" si="1"/>
        <v>12.562</v>
      </c>
      <c r="M21" s="24">
        <v>6.281</v>
      </c>
      <c r="N21" s="28">
        <f t="shared" si="2"/>
        <v>7.1</v>
      </c>
      <c r="O21" s="28">
        <f t="shared" si="3"/>
        <v>1.6380000000000001</v>
      </c>
      <c r="P21" s="28">
        <f t="shared" si="4"/>
        <v>15.838</v>
      </c>
      <c r="Q21" s="24">
        <v>46.413</v>
      </c>
      <c r="R21" s="28">
        <f t="shared" si="5"/>
        <v>57.018499999999996</v>
      </c>
      <c r="S21" s="17">
        <f t="shared" si="6"/>
        <v>21.211</v>
      </c>
      <c r="T21" s="4">
        <f aca="true" t="shared" si="38" ref="T21:T29">S21+G21</f>
        <v>21.275</v>
      </c>
      <c r="U21" s="59">
        <f t="shared" si="8"/>
        <v>48</v>
      </c>
      <c r="V21" s="17">
        <f t="shared" si="9"/>
        <v>34.743618</v>
      </c>
      <c r="W21" s="17">
        <f t="shared" si="10"/>
        <v>0.5194564257976872</v>
      </c>
      <c r="X21" s="17">
        <f t="shared" si="11"/>
        <v>24.933908438288988</v>
      </c>
      <c r="Y21" s="18">
        <f t="shared" si="12"/>
        <v>2141.309552686803</v>
      </c>
      <c r="Z21" s="17">
        <f t="shared" si="13"/>
        <v>0.7176543455632338</v>
      </c>
      <c r="AA21" s="18">
        <f t="shared" si="14"/>
        <v>0.0027979108753402853</v>
      </c>
      <c r="AB21" s="19">
        <f t="shared" si="15"/>
        <v>62900.56561699443</v>
      </c>
      <c r="AC21" s="20" t="s">
        <v>147</v>
      </c>
      <c r="AD21" s="18" t="s">
        <v>148</v>
      </c>
      <c r="AE21" s="20">
        <f>U21</f>
        <v>48</v>
      </c>
      <c r="AF21" s="19">
        <f>AA21</f>
        <v>0.0027979108753402853</v>
      </c>
      <c r="AG21" s="23">
        <v>15</v>
      </c>
      <c r="AH21" s="63">
        <v>5</v>
      </c>
      <c r="AI21" s="19">
        <f t="shared" si="16"/>
        <v>1125000000</v>
      </c>
      <c r="AJ21" s="48">
        <f>AI21</f>
        <v>1125000000</v>
      </c>
      <c r="AK21" s="48">
        <f t="shared" si="17"/>
        <v>10016578755969646</v>
      </c>
      <c r="AL21" s="23">
        <f aca="true" t="shared" si="39" ref="AL21:AL29">tinlet</f>
        <v>20</v>
      </c>
      <c r="AM21" s="23">
        <f aca="true" t="shared" si="40" ref="AM21:AM29">0.13608+0.0000000000000045496*(gzero+AK21)+5.3309E-32*(gzero+AK21)^2</f>
        <v>75.19561879382724</v>
      </c>
      <c r="AN21" s="48">
        <f aca="true" t="shared" si="41" ref="AN21:AN29">(-1118300+3486200*AM21-hzero)*2*PI()*N51/100*X51/100/100</f>
        <v>3507410.7794436924</v>
      </c>
      <c r="AO21" s="48">
        <f aca="true" t="shared" si="42" ref="AO21:AO29">AN21/trep</f>
        <v>11691.369264812309</v>
      </c>
      <c r="AP21" s="46">
        <f t="shared" si="22"/>
        <v>0.636172512351933</v>
      </c>
      <c r="AQ21" s="23">
        <f t="shared" si="23"/>
        <v>81.32064816308909</v>
      </c>
      <c r="AR21" s="33">
        <f t="shared" si="24"/>
        <v>0.8999999999999999</v>
      </c>
      <c r="AS21" s="35">
        <f t="shared" si="25"/>
        <v>7318.858334678015</v>
      </c>
      <c r="AT21" s="47">
        <f t="shared" si="26"/>
        <v>0.034164592685872346</v>
      </c>
      <c r="AU21" s="35">
        <f aca="true" t="shared" si="43" ref="AU21:AU29">Y51/100</f>
        <v>54.38926263824479</v>
      </c>
      <c r="AV21" s="35">
        <f t="shared" si="28"/>
        <v>9.901119583480838</v>
      </c>
      <c r="AW21" s="12">
        <v>0.82</v>
      </c>
      <c r="AX21" s="20">
        <v>2</v>
      </c>
      <c r="AY21" s="23">
        <f t="shared" si="29"/>
        <v>1.64</v>
      </c>
      <c r="AZ21" s="48">
        <f t="shared" si="30"/>
        <v>0.004619364375461937</v>
      </c>
      <c r="BA21" s="23">
        <f aca="true" t="shared" si="44" ref="BA21:BA29">AB21*AZ21</f>
        <v>290.56063200755005</v>
      </c>
      <c r="BB21" s="35">
        <f aca="true" t="shared" si="45" ref="BB21:BB29">2*1012.85</f>
        <v>2025.7</v>
      </c>
      <c r="BC21" s="47">
        <f aca="true" t="shared" si="46" ref="BC21:BC29">2/K21</f>
        <v>1</v>
      </c>
      <c r="BD21" s="35">
        <f t="shared" si="32"/>
        <v>31.6515625</v>
      </c>
    </row>
    <row r="22" spans="1:56" ht="12">
      <c r="A22" s="22" t="s">
        <v>136</v>
      </c>
      <c r="B22" s="24">
        <v>0.787</v>
      </c>
      <c r="C22" s="24">
        <v>0.787</v>
      </c>
      <c r="D22" s="24">
        <f>0.9/2.54</f>
        <v>0.3543307086614173</v>
      </c>
      <c r="E22" s="24">
        <v>0</v>
      </c>
      <c r="F22" s="24">
        <v>0.039</v>
      </c>
      <c r="G22" s="24">
        <v>0.064</v>
      </c>
      <c r="H22" s="24">
        <v>0.064</v>
      </c>
      <c r="I22" s="25">
        <v>8</v>
      </c>
      <c r="J22" s="16">
        <f>I22-1</f>
        <v>7</v>
      </c>
      <c r="K22" s="26">
        <v>4</v>
      </c>
      <c r="L22" s="15">
        <f t="shared" si="1"/>
        <v>20.66</v>
      </c>
      <c r="M22" s="24">
        <v>10.33</v>
      </c>
      <c r="N22" s="28">
        <f t="shared" si="2"/>
        <v>12</v>
      </c>
      <c r="O22" s="28">
        <f t="shared" si="3"/>
        <v>3.3400000000000003</v>
      </c>
      <c r="P22" s="28">
        <f t="shared" si="4"/>
        <v>27.34</v>
      </c>
      <c r="Q22" s="24">
        <v>68.235</v>
      </c>
      <c r="R22" s="28">
        <f t="shared" si="5"/>
        <v>71.607</v>
      </c>
      <c r="S22" s="17">
        <f t="shared" si="6"/>
        <v>6.744</v>
      </c>
      <c r="T22" s="4">
        <f t="shared" si="38"/>
        <v>6.808</v>
      </c>
      <c r="U22" s="59">
        <f t="shared" si="8"/>
        <v>28</v>
      </c>
      <c r="V22" s="17">
        <f t="shared" si="9"/>
        <v>22.52496</v>
      </c>
      <c r="W22" s="17">
        <f t="shared" si="10"/>
        <v>0.5194564257976872</v>
      </c>
      <c r="X22" s="17">
        <f t="shared" si="11"/>
        <v>14.544779922335243</v>
      </c>
      <c r="Y22" s="18">
        <f t="shared" si="12"/>
        <v>2111.150263212341</v>
      </c>
      <c r="Z22" s="17">
        <f t="shared" si="13"/>
        <v>0.6457183463293716</v>
      </c>
      <c r="AA22" s="18">
        <f t="shared" si="14"/>
        <v>0.002758503679912958</v>
      </c>
      <c r="AB22" s="19">
        <f t="shared" si="15"/>
        <v>62014.64215760015</v>
      </c>
      <c r="AC22" s="20">
        <v>4</v>
      </c>
      <c r="AD22" s="18" t="s">
        <v>136</v>
      </c>
      <c r="AE22" s="20">
        <f>U22</f>
        <v>28</v>
      </c>
      <c r="AF22" s="19">
        <f>AA22</f>
        <v>0.002758503679912958</v>
      </c>
      <c r="AG22" s="23">
        <v>20</v>
      </c>
      <c r="AH22" s="63">
        <v>1</v>
      </c>
      <c r="AI22" s="19">
        <f t="shared" si="16"/>
        <v>400000000</v>
      </c>
      <c r="AJ22" s="48">
        <f>AI22</f>
        <v>400000000</v>
      </c>
      <c r="AK22" s="48">
        <f t="shared" si="17"/>
        <v>3561450224344763</v>
      </c>
      <c r="AL22" s="23">
        <f t="shared" si="39"/>
        <v>20</v>
      </c>
      <c r="AM22" s="23">
        <f t="shared" si="40"/>
        <v>38.309159798300634</v>
      </c>
      <c r="AN22" s="48">
        <f t="shared" si="41"/>
        <v>1147070.5564842217</v>
      </c>
      <c r="AO22" s="48">
        <f t="shared" si="42"/>
        <v>3823.5685216140723</v>
      </c>
      <c r="AP22" s="46">
        <f t="shared" si="22"/>
        <v>0.636172512351933</v>
      </c>
      <c r="AQ22" s="23">
        <f t="shared" si="23"/>
        <v>81.32064816308909</v>
      </c>
      <c r="AR22" s="33">
        <f t="shared" si="24"/>
        <v>0.8999999999999999</v>
      </c>
      <c r="AS22" s="35">
        <f t="shared" si="25"/>
        <v>7318.858334678015</v>
      </c>
      <c r="AT22" s="47">
        <f t="shared" si="26"/>
        <v>0.034164592685872346</v>
      </c>
      <c r="AU22" s="35">
        <f t="shared" si="43"/>
        <v>53.62321668559346</v>
      </c>
      <c r="AV22" s="35">
        <f t="shared" si="28"/>
        <v>9.76166719498111</v>
      </c>
      <c r="AW22" s="12">
        <v>0.82</v>
      </c>
      <c r="AX22" s="20">
        <v>1</v>
      </c>
      <c r="AY22" s="23">
        <f t="shared" si="29"/>
        <v>0.82</v>
      </c>
      <c r="AZ22" s="48">
        <f t="shared" si="30"/>
        <v>0.004619364375461937</v>
      </c>
      <c r="BA22" s="23">
        <f t="shared" si="44"/>
        <v>286.46822873983814</v>
      </c>
      <c r="BB22" s="35">
        <f t="shared" si="45"/>
        <v>2025.7</v>
      </c>
      <c r="BC22" s="47">
        <f t="shared" si="46"/>
        <v>0.5</v>
      </c>
      <c r="BD22" s="35">
        <f t="shared" si="32"/>
        <v>15.82578125</v>
      </c>
    </row>
    <row r="23" spans="1:56" ht="12">
      <c r="A23" s="22" t="s">
        <v>149</v>
      </c>
      <c r="B23" s="24">
        <v>0.802</v>
      </c>
      <c r="C23" s="24">
        <v>1.272</v>
      </c>
      <c r="D23" s="24">
        <v>0.356</v>
      </c>
      <c r="E23" s="24">
        <v>0</v>
      </c>
      <c r="F23" s="24">
        <v>0.125</v>
      </c>
      <c r="G23" s="24">
        <f aca="true" t="shared" si="47" ref="G23:H29">2*0.066</f>
        <v>0.132</v>
      </c>
      <c r="H23" s="24">
        <f t="shared" si="47"/>
        <v>0.132</v>
      </c>
      <c r="I23" s="25">
        <f aca="true" t="shared" si="48" ref="I23:I29">J23</f>
        <v>2</v>
      </c>
      <c r="J23" s="16">
        <v>2</v>
      </c>
      <c r="K23" s="26">
        <v>7</v>
      </c>
      <c r="L23" s="24">
        <f>71.22/2.54*2+(2*0.188+0.066)</f>
        <v>56.52074015748031</v>
      </c>
      <c r="M23" s="27">
        <f aca="true" t="shared" si="49" ref="M23:M29">L23/2</f>
        <v>28.260370078740156</v>
      </c>
      <c r="N23" s="28">
        <f t="shared" si="2"/>
        <v>31.463370078740155</v>
      </c>
      <c r="O23" s="28">
        <f t="shared" si="3"/>
        <v>6.406000000000001</v>
      </c>
      <c r="P23" s="28">
        <f t="shared" si="4"/>
        <v>69.33274015748032</v>
      </c>
      <c r="Q23" s="24">
        <f>Q24+2*(0.188+0.066)+S24</f>
        <v>74.78445669291338</v>
      </c>
      <c r="R23" s="28">
        <f t="shared" si="5"/>
        <v>76.12245669291337</v>
      </c>
      <c r="S23" s="17">
        <f t="shared" si="6"/>
        <v>2.6759999999999997</v>
      </c>
      <c r="T23" s="4">
        <f t="shared" si="38"/>
        <v>2.808</v>
      </c>
      <c r="U23" s="60">
        <v>14</v>
      </c>
      <c r="V23" s="28">
        <f t="shared" si="9"/>
        <v>17.142456</v>
      </c>
      <c r="W23" s="17">
        <f t="shared" si="10"/>
        <v>0.9071931635760018</v>
      </c>
      <c r="X23" s="17">
        <f t="shared" si="11"/>
        <v>12.700704290064024</v>
      </c>
      <c r="Y23" s="18">
        <f t="shared" si="12"/>
        <v>2767.6625843033153</v>
      </c>
      <c r="Z23" s="28">
        <f t="shared" si="13"/>
        <v>0.7408917537874401</v>
      </c>
      <c r="AA23" s="18">
        <f t="shared" si="14"/>
        <v>0.0020706987373202697</v>
      </c>
      <c r="AB23" s="19">
        <f t="shared" si="15"/>
        <v>141983.829246735</v>
      </c>
      <c r="AC23" s="30" t="s">
        <v>111</v>
      </c>
      <c r="AD23" s="31" t="s">
        <v>111</v>
      </c>
      <c r="AE23" s="20" t="s">
        <v>111</v>
      </c>
      <c r="AF23" s="19" t="s">
        <v>111</v>
      </c>
      <c r="AG23" s="23">
        <v>20</v>
      </c>
      <c r="AH23" s="63">
        <v>5</v>
      </c>
      <c r="AI23" s="19">
        <f t="shared" si="16"/>
        <v>2000000000</v>
      </c>
      <c r="AJ23" s="48" t="s">
        <v>111</v>
      </c>
      <c r="AK23" s="48">
        <f t="shared" si="17"/>
        <v>5838423466221866</v>
      </c>
      <c r="AL23" s="23">
        <f t="shared" si="39"/>
        <v>20</v>
      </c>
      <c r="AM23" s="23">
        <f t="shared" si="40"/>
        <v>50.81328135999491</v>
      </c>
      <c r="AN23" s="48">
        <f t="shared" si="41"/>
        <v>4419817.217561423</v>
      </c>
      <c r="AO23" s="48">
        <f t="shared" si="42"/>
        <v>14732.724058538077</v>
      </c>
      <c r="AP23" s="46">
        <f t="shared" si="22"/>
        <v>0.6421807907090047</v>
      </c>
      <c r="AQ23" s="23">
        <f t="shared" si="23"/>
        <v>264.1660872480556</v>
      </c>
      <c r="AR23" s="33">
        <f t="shared" si="24"/>
        <v>0.90424</v>
      </c>
      <c r="AS23" s="35">
        <f t="shared" si="25"/>
        <v>23886.954273318177</v>
      </c>
      <c r="AT23" s="47">
        <f t="shared" si="26"/>
        <v>0.025418322644932156</v>
      </c>
      <c r="AU23" s="35">
        <f t="shared" si="43"/>
        <v>70.2986296413042</v>
      </c>
      <c r="AV23" s="35">
        <f t="shared" si="28"/>
        <v>99.99997552880633</v>
      </c>
      <c r="AW23" s="12">
        <v>2.688886649074693</v>
      </c>
      <c r="AX23" s="20">
        <v>2</v>
      </c>
      <c r="AY23" s="23">
        <f t="shared" si="29"/>
        <v>5.377773298149386</v>
      </c>
      <c r="AZ23" s="48">
        <f t="shared" si="30"/>
        <v>0.001408716425135393</v>
      </c>
      <c r="BA23" s="23">
        <f t="shared" si="44"/>
        <v>200.0149523634946</v>
      </c>
      <c r="BB23" s="35">
        <f t="shared" si="45"/>
        <v>2025.7</v>
      </c>
      <c r="BC23" s="47">
        <f t="shared" si="46"/>
        <v>0.2857142857142857</v>
      </c>
      <c r="BD23" s="35">
        <f t="shared" si="32"/>
        <v>4.384632034632035</v>
      </c>
    </row>
    <row r="24" spans="1:56" ht="12">
      <c r="A24" s="22" t="s">
        <v>150</v>
      </c>
      <c r="B24" s="24">
        <v>0.802</v>
      </c>
      <c r="C24" s="24">
        <v>1.272</v>
      </c>
      <c r="D24" s="24">
        <v>0.356</v>
      </c>
      <c r="E24" s="24">
        <v>0</v>
      </c>
      <c r="F24" s="24">
        <v>0.125</v>
      </c>
      <c r="G24" s="24">
        <f t="shared" si="47"/>
        <v>0.132</v>
      </c>
      <c r="H24" s="24">
        <f t="shared" si="47"/>
        <v>0.132</v>
      </c>
      <c r="I24" s="25">
        <f t="shared" si="48"/>
        <v>2</v>
      </c>
      <c r="J24" s="16">
        <v>2</v>
      </c>
      <c r="K24" s="26">
        <v>7</v>
      </c>
      <c r="L24" s="24">
        <f>71.22/2.54*2+(2*0.188+0.066)</f>
        <v>56.52074015748031</v>
      </c>
      <c r="M24" s="27">
        <f t="shared" si="49"/>
        <v>28.260370078740156</v>
      </c>
      <c r="N24" s="28">
        <f t="shared" si="2"/>
        <v>31.463370078740155</v>
      </c>
      <c r="O24" s="28">
        <f t="shared" si="3"/>
        <v>6.406000000000001</v>
      </c>
      <c r="P24" s="28">
        <f t="shared" si="4"/>
        <v>69.33274015748032</v>
      </c>
      <c r="Q24" s="24">
        <f>181.22/2.54+0.188+0.066</f>
        <v>71.60045669291338</v>
      </c>
      <c r="R24" s="28">
        <f t="shared" si="5"/>
        <v>72.93845669291338</v>
      </c>
      <c r="S24" s="17">
        <f t="shared" si="6"/>
        <v>2.6759999999999997</v>
      </c>
      <c r="T24" s="4">
        <f t="shared" si="38"/>
        <v>2.808</v>
      </c>
      <c r="U24" s="60">
        <v>14</v>
      </c>
      <c r="V24" s="28">
        <f t="shared" si="9"/>
        <v>17.142456</v>
      </c>
      <c r="W24" s="17">
        <f t="shared" si="10"/>
        <v>0.9071931635760018</v>
      </c>
      <c r="X24" s="17">
        <f t="shared" si="11"/>
        <v>12.700704290064024</v>
      </c>
      <c r="Y24" s="18">
        <f t="shared" si="12"/>
        <v>2767.6625843033153</v>
      </c>
      <c r="Z24" s="28">
        <f t="shared" si="13"/>
        <v>0.7408917537874401</v>
      </c>
      <c r="AA24" s="18">
        <f t="shared" si="14"/>
        <v>0.0020706987373202697</v>
      </c>
      <c r="AB24" s="19">
        <f t="shared" si="15"/>
        <v>141983.829246735</v>
      </c>
      <c r="AC24" s="30" t="s">
        <v>151</v>
      </c>
      <c r="AD24" s="31" t="s">
        <v>152</v>
      </c>
      <c r="AE24" s="20">
        <f>U23+U24</f>
        <v>28</v>
      </c>
      <c r="AF24" s="32">
        <f>AA23+AA24</f>
        <v>0.004141397474640539</v>
      </c>
      <c r="AG24" s="23">
        <v>20</v>
      </c>
      <c r="AH24" s="63">
        <v>5</v>
      </c>
      <c r="AI24" s="19">
        <f t="shared" si="16"/>
        <v>2000000000</v>
      </c>
      <c r="AJ24" s="48">
        <f>AI24</f>
        <v>2000000000</v>
      </c>
      <c r="AK24" s="48">
        <f t="shared" si="17"/>
        <v>5838423466221866</v>
      </c>
      <c r="AL24" s="23">
        <f t="shared" si="39"/>
        <v>20</v>
      </c>
      <c r="AM24" s="23">
        <f t="shared" si="40"/>
        <v>50.81328135999491</v>
      </c>
      <c r="AN24" s="48">
        <f t="shared" si="41"/>
        <v>4419817.217561423</v>
      </c>
      <c r="AO24" s="48">
        <f t="shared" si="42"/>
        <v>14732.724058538077</v>
      </c>
      <c r="AP24" s="46">
        <f t="shared" si="22"/>
        <v>0.6421807907090047</v>
      </c>
      <c r="AQ24" s="23">
        <f t="shared" si="23"/>
        <v>264.1660872480556</v>
      </c>
      <c r="AR24" s="33">
        <f t="shared" si="24"/>
        <v>0.90424</v>
      </c>
      <c r="AS24" s="35">
        <f t="shared" si="25"/>
        <v>23886.954273318177</v>
      </c>
      <c r="AT24" s="47">
        <f t="shared" si="26"/>
        <v>0.025418322644932156</v>
      </c>
      <c r="AU24" s="35">
        <f t="shared" si="43"/>
        <v>70.2986296413042</v>
      </c>
      <c r="AV24" s="35">
        <f t="shared" si="28"/>
        <v>99.99997552880633</v>
      </c>
      <c r="AW24" s="12">
        <v>2.688886649074693</v>
      </c>
      <c r="AX24" s="20">
        <v>2</v>
      </c>
      <c r="AY24" s="23">
        <f t="shared" si="29"/>
        <v>5.377773298149386</v>
      </c>
      <c r="AZ24" s="48">
        <f t="shared" si="30"/>
        <v>0.001408716425135393</v>
      </c>
      <c r="BA24" s="23">
        <f t="shared" si="44"/>
        <v>200.0149523634946</v>
      </c>
      <c r="BB24" s="35">
        <f t="shared" si="45"/>
        <v>2025.7</v>
      </c>
      <c r="BC24" s="47">
        <f t="shared" si="46"/>
        <v>0.2857142857142857</v>
      </c>
      <c r="BD24" s="35">
        <f t="shared" si="32"/>
        <v>4.384632034632035</v>
      </c>
    </row>
    <row r="25" spans="1:56" ht="12">
      <c r="A25" s="22" t="s">
        <v>153</v>
      </c>
      <c r="B25" s="24">
        <v>0.802</v>
      </c>
      <c r="C25" s="24">
        <v>1.272</v>
      </c>
      <c r="D25" s="24">
        <v>0.356</v>
      </c>
      <c r="E25" s="24">
        <v>0</v>
      </c>
      <c r="F25" s="24">
        <v>0.125</v>
      </c>
      <c r="G25" s="24">
        <f t="shared" si="47"/>
        <v>0.132</v>
      </c>
      <c r="H25" s="24">
        <f t="shared" si="47"/>
        <v>0.132</v>
      </c>
      <c r="I25" s="25">
        <f t="shared" si="48"/>
        <v>2</v>
      </c>
      <c r="J25" s="16">
        <v>2</v>
      </c>
      <c r="K25" s="26">
        <v>8</v>
      </c>
      <c r="L25" s="24">
        <f>109.826+2*(0.188+0.066)</f>
        <v>110.33399999999999</v>
      </c>
      <c r="M25" s="27">
        <f t="shared" si="49"/>
        <v>55.166999999999994</v>
      </c>
      <c r="N25" s="28">
        <f t="shared" si="2"/>
        <v>58.836999999999996</v>
      </c>
      <c r="O25" s="28">
        <f t="shared" si="3"/>
        <v>7.340000000000001</v>
      </c>
      <c r="P25" s="28">
        <f t="shared" si="4"/>
        <v>125.014</v>
      </c>
      <c r="Q25" s="24">
        <f>Q26+2*(0.188+0.066)+S26</f>
        <v>62.97343307086615</v>
      </c>
      <c r="R25" s="28">
        <f t="shared" si="5"/>
        <v>64.31143307086614</v>
      </c>
      <c r="S25" s="17">
        <f t="shared" si="6"/>
        <v>2.6759999999999997</v>
      </c>
      <c r="T25" s="4">
        <f t="shared" si="38"/>
        <v>2.808</v>
      </c>
      <c r="U25" s="60">
        <v>15</v>
      </c>
      <c r="V25" s="28">
        <f t="shared" si="9"/>
        <v>19.64184</v>
      </c>
      <c r="W25" s="17">
        <f t="shared" si="10"/>
        <v>0.9071931635760018</v>
      </c>
      <c r="X25" s="17">
        <f t="shared" si="11"/>
        <v>13.607897453640026</v>
      </c>
      <c r="Y25" s="18">
        <f t="shared" si="12"/>
        <v>5545.25660877788</v>
      </c>
      <c r="Z25" s="28">
        <f t="shared" si="13"/>
        <v>0.692801563073522</v>
      </c>
      <c r="AA25" s="18">
        <f t="shared" si="14"/>
        <v>0.00414882793987825</v>
      </c>
      <c r="AB25" s="19">
        <f t="shared" si="15"/>
        <v>284477.15120166575</v>
      </c>
      <c r="AC25" s="30" t="s">
        <v>111</v>
      </c>
      <c r="AD25" s="1" t="s">
        <v>111</v>
      </c>
      <c r="AE25" s="30" t="s">
        <v>111</v>
      </c>
      <c r="AF25" s="32" t="s">
        <v>111</v>
      </c>
      <c r="AG25" s="23">
        <v>20</v>
      </c>
      <c r="AH25" s="63">
        <v>5</v>
      </c>
      <c r="AI25" s="19">
        <f t="shared" si="16"/>
        <v>2000000000</v>
      </c>
      <c r="AJ25" s="48" t="s">
        <v>111</v>
      </c>
      <c r="AK25" s="48">
        <f t="shared" si="17"/>
        <v>5838423466221866</v>
      </c>
      <c r="AL25" s="23">
        <f t="shared" si="39"/>
        <v>20</v>
      </c>
      <c r="AM25" s="23">
        <f t="shared" si="40"/>
        <v>50.81328135999491</v>
      </c>
      <c r="AN25" s="48">
        <f t="shared" si="41"/>
        <v>8855494.442955092</v>
      </c>
      <c r="AO25" s="48">
        <f t="shared" si="42"/>
        <v>29518.314809850304</v>
      </c>
      <c r="AP25" s="46">
        <f t="shared" si="22"/>
        <v>0.6421807907090047</v>
      </c>
      <c r="AQ25" s="23">
        <f t="shared" si="23"/>
        <v>177.58815211981494</v>
      </c>
      <c r="AR25" s="33">
        <f t="shared" si="24"/>
        <v>0.90424</v>
      </c>
      <c r="AS25" s="35">
        <f t="shared" si="25"/>
        <v>16058.231067282146</v>
      </c>
      <c r="AT25" s="47">
        <f t="shared" si="26"/>
        <v>0.028071308490166945</v>
      </c>
      <c r="AU25" s="35">
        <f t="shared" si="43"/>
        <v>140.84951786295815</v>
      </c>
      <c r="AV25" s="35">
        <f t="shared" si="28"/>
        <v>99.9995434742184</v>
      </c>
      <c r="AW25" s="12">
        <v>1.8076294964403339</v>
      </c>
      <c r="AX25" s="20">
        <v>2</v>
      </c>
      <c r="AY25" s="23">
        <f t="shared" si="29"/>
        <v>3.6152589928806678</v>
      </c>
      <c r="AZ25" s="48">
        <f t="shared" si="30"/>
        <v>0.0020954951196238227</v>
      </c>
      <c r="BA25" s="23">
        <f t="shared" si="44"/>
        <v>596.1204819875788</v>
      </c>
      <c r="BB25" s="35">
        <f t="shared" si="45"/>
        <v>2025.7</v>
      </c>
      <c r="BC25" s="47">
        <f t="shared" si="46"/>
        <v>0.25</v>
      </c>
      <c r="BD25" s="35">
        <f t="shared" si="32"/>
        <v>3.83655303030303</v>
      </c>
    </row>
    <row r="26" spans="1:56" ht="12">
      <c r="A26" s="22" t="s">
        <v>154</v>
      </c>
      <c r="B26" s="24">
        <v>0.802</v>
      </c>
      <c r="C26" s="24">
        <v>1.272</v>
      </c>
      <c r="D26" s="24">
        <v>0.356</v>
      </c>
      <c r="E26" s="24">
        <v>0</v>
      </c>
      <c r="F26" s="24">
        <v>0.125</v>
      </c>
      <c r="G26" s="24">
        <f t="shared" si="47"/>
        <v>0.132</v>
      </c>
      <c r="H26" s="24">
        <f t="shared" si="47"/>
        <v>0.132</v>
      </c>
      <c r="I26" s="25">
        <f t="shared" si="48"/>
        <v>2</v>
      </c>
      <c r="J26" s="16">
        <v>2</v>
      </c>
      <c r="K26" s="26">
        <v>8</v>
      </c>
      <c r="L26" s="24">
        <f>109.826+2*(0.188+0.066)</f>
        <v>110.33399999999999</v>
      </c>
      <c r="M26" s="27">
        <f t="shared" si="49"/>
        <v>55.166999999999994</v>
      </c>
      <c r="N26" s="28">
        <f t="shared" si="2"/>
        <v>58.836999999999996</v>
      </c>
      <c r="O26" s="28">
        <f t="shared" si="3"/>
        <v>7.340000000000001</v>
      </c>
      <c r="P26" s="28">
        <f t="shared" si="4"/>
        <v>125.014</v>
      </c>
      <c r="Q26" s="24">
        <f>151.22/2.54+0.188+0.066</f>
        <v>59.789433070866146</v>
      </c>
      <c r="R26" s="28">
        <f t="shared" si="5"/>
        <v>61.12743307086615</v>
      </c>
      <c r="S26" s="17">
        <f t="shared" si="6"/>
        <v>2.6759999999999997</v>
      </c>
      <c r="T26" s="4">
        <f t="shared" si="38"/>
        <v>2.808</v>
      </c>
      <c r="U26" s="60">
        <v>15</v>
      </c>
      <c r="V26" s="28">
        <f t="shared" si="9"/>
        <v>19.64184</v>
      </c>
      <c r="W26" s="17">
        <f t="shared" si="10"/>
        <v>0.9071931635760018</v>
      </c>
      <c r="X26" s="17">
        <f t="shared" si="11"/>
        <v>13.607897453640026</v>
      </c>
      <c r="Y26" s="18">
        <f t="shared" si="12"/>
        <v>5545.25660877788</v>
      </c>
      <c r="Z26" s="28">
        <f t="shared" si="13"/>
        <v>0.692801563073522</v>
      </c>
      <c r="AA26" s="18">
        <f t="shared" si="14"/>
        <v>0.00414882793987825</v>
      </c>
      <c r="AB26" s="19">
        <f t="shared" si="15"/>
        <v>284477.15120166575</v>
      </c>
      <c r="AC26" s="30" t="s">
        <v>155</v>
      </c>
      <c r="AD26" s="31" t="s">
        <v>156</v>
      </c>
      <c r="AE26" s="30">
        <f>U25+U26</f>
        <v>30</v>
      </c>
      <c r="AF26" s="32">
        <f>AA25+AA26</f>
        <v>0.0082976558797565</v>
      </c>
      <c r="AG26" s="23">
        <v>20</v>
      </c>
      <c r="AH26" s="63">
        <v>5</v>
      </c>
      <c r="AI26" s="19">
        <f t="shared" si="16"/>
        <v>2000000000</v>
      </c>
      <c r="AJ26" s="48">
        <f>AI26</f>
        <v>2000000000</v>
      </c>
      <c r="AK26" s="48">
        <f t="shared" si="17"/>
        <v>5838423466221866</v>
      </c>
      <c r="AL26" s="23">
        <f t="shared" si="39"/>
        <v>20</v>
      </c>
      <c r="AM26" s="23">
        <f t="shared" si="40"/>
        <v>50.81328135999491</v>
      </c>
      <c r="AN26" s="48">
        <f t="shared" si="41"/>
        <v>8855494.442955092</v>
      </c>
      <c r="AO26" s="48">
        <f t="shared" si="42"/>
        <v>29518.314809850304</v>
      </c>
      <c r="AP26" s="46">
        <f t="shared" si="22"/>
        <v>0.6421807907090047</v>
      </c>
      <c r="AQ26" s="23">
        <f t="shared" si="23"/>
        <v>177.58815211981494</v>
      </c>
      <c r="AR26" s="33">
        <f t="shared" si="24"/>
        <v>0.90424</v>
      </c>
      <c r="AS26" s="35">
        <f t="shared" si="25"/>
        <v>16058.231067282146</v>
      </c>
      <c r="AT26" s="47">
        <f t="shared" si="26"/>
        <v>0.028071308490166945</v>
      </c>
      <c r="AU26" s="35">
        <f t="shared" si="43"/>
        <v>140.84951786295815</v>
      </c>
      <c r="AV26" s="35">
        <f t="shared" si="28"/>
        <v>99.9995434742184</v>
      </c>
      <c r="AW26" s="12">
        <v>1.8076294964403339</v>
      </c>
      <c r="AX26" s="20">
        <v>2</v>
      </c>
      <c r="AY26" s="23">
        <f t="shared" si="29"/>
        <v>3.6152589928806678</v>
      </c>
      <c r="AZ26" s="48">
        <f t="shared" si="30"/>
        <v>0.0020954951196238227</v>
      </c>
      <c r="BA26" s="23">
        <f t="shared" si="44"/>
        <v>596.1204819875788</v>
      </c>
      <c r="BB26" s="35">
        <f t="shared" si="45"/>
        <v>2025.7</v>
      </c>
      <c r="BC26" s="47">
        <f t="shared" si="46"/>
        <v>0.25</v>
      </c>
      <c r="BD26" s="35">
        <f t="shared" si="32"/>
        <v>3.83655303030303</v>
      </c>
    </row>
    <row r="27" spans="1:56" ht="12">
      <c r="A27" s="22" t="s">
        <v>157</v>
      </c>
      <c r="B27" s="24">
        <v>0.802</v>
      </c>
      <c r="C27" s="24">
        <v>1.272</v>
      </c>
      <c r="D27" s="24">
        <v>0.356</v>
      </c>
      <c r="E27" s="24">
        <v>0</v>
      </c>
      <c r="F27" s="24">
        <v>0.125</v>
      </c>
      <c r="G27" s="24">
        <f t="shared" si="47"/>
        <v>0.132</v>
      </c>
      <c r="H27" s="24">
        <f t="shared" si="47"/>
        <v>0.132</v>
      </c>
      <c r="I27" s="25">
        <f t="shared" si="48"/>
        <v>2</v>
      </c>
      <c r="J27" s="16">
        <v>2</v>
      </c>
      <c r="K27" s="26">
        <v>3</v>
      </c>
      <c r="L27" s="24">
        <f>137.196+2*(0.188+0.066)</f>
        <v>137.704</v>
      </c>
      <c r="M27" s="27">
        <f t="shared" si="49"/>
        <v>68.852</v>
      </c>
      <c r="N27" s="28">
        <f t="shared" si="2"/>
        <v>70.187</v>
      </c>
      <c r="O27" s="28">
        <f t="shared" si="3"/>
        <v>2.67</v>
      </c>
      <c r="P27" s="28">
        <f t="shared" si="4"/>
        <v>143.044</v>
      </c>
      <c r="Q27" s="24">
        <f>Q28+S28+2*(0.188+0.066)</f>
        <v>27.30310236220472</v>
      </c>
      <c r="R27" s="28">
        <f t="shared" si="5"/>
        <v>28.64110236220472</v>
      </c>
      <c r="S27" s="17">
        <f t="shared" si="6"/>
        <v>2.6759999999999997</v>
      </c>
      <c r="T27" s="4">
        <f t="shared" si="38"/>
        <v>2.808</v>
      </c>
      <c r="U27" s="60">
        <v>5</v>
      </c>
      <c r="V27" s="28">
        <f t="shared" si="9"/>
        <v>7.144919999999999</v>
      </c>
      <c r="W27" s="17">
        <f t="shared" si="10"/>
        <v>0.9071931635760018</v>
      </c>
      <c r="X27" s="17">
        <f t="shared" si="11"/>
        <v>4.535965817880009</v>
      </c>
      <c r="Y27" s="18">
        <f t="shared" si="12"/>
        <v>2204.989635775068</v>
      </c>
      <c r="Z27" s="28">
        <f t="shared" si="13"/>
        <v>0.6348518692833524</v>
      </c>
      <c r="AA27" s="18">
        <f t="shared" si="14"/>
        <v>0.0016497203382012154</v>
      </c>
      <c r="AB27" s="19">
        <f t="shared" si="15"/>
        <v>113118.15020815312</v>
      </c>
      <c r="AD27" s="31"/>
      <c r="AF27" s="32"/>
      <c r="AG27" s="23">
        <v>20</v>
      </c>
      <c r="AH27" s="63">
        <v>5</v>
      </c>
      <c r="AI27" s="19">
        <f t="shared" si="16"/>
        <v>2000000000</v>
      </c>
      <c r="AJ27" s="48" t="s">
        <v>111</v>
      </c>
      <c r="AK27" s="48">
        <f t="shared" si="17"/>
        <v>5838423466221866</v>
      </c>
      <c r="AL27" s="23">
        <f t="shared" si="39"/>
        <v>20</v>
      </c>
      <c r="AM27" s="23">
        <f t="shared" si="40"/>
        <v>50.81328135999491</v>
      </c>
      <c r="AN27" s="48">
        <f t="shared" si="41"/>
        <v>3521256.96680484</v>
      </c>
      <c r="AO27" s="48">
        <f t="shared" si="42"/>
        <v>11737.523222682801</v>
      </c>
      <c r="AP27" s="46">
        <f t="shared" si="22"/>
        <v>0.6421807907090047</v>
      </c>
      <c r="AQ27" s="23">
        <f t="shared" si="23"/>
        <v>300.8021990209254</v>
      </c>
      <c r="AR27" s="33">
        <f t="shared" si="24"/>
        <v>0.90424</v>
      </c>
      <c r="AS27" s="35">
        <f t="shared" si="25"/>
        <v>27199.738044268157</v>
      </c>
      <c r="AT27" s="47">
        <f t="shared" si="26"/>
        <v>0.024606276636253758</v>
      </c>
      <c r="AU27" s="35">
        <f t="shared" si="43"/>
        <v>56.006736748686734</v>
      </c>
      <c r="AV27" s="35">
        <f t="shared" si="28"/>
        <v>100.00004703762657</v>
      </c>
      <c r="AW27" s="12">
        <v>3.061797316171697</v>
      </c>
      <c r="AX27" s="20">
        <v>2</v>
      </c>
      <c r="AY27" s="23">
        <f t="shared" si="29"/>
        <v>6.123594632343394</v>
      </c>
      <c r="AZ27" s="48">
        <f t="shared" si="30"/>
        <v>0.0012371422392566936</v>
      </c>
      <c r="BA27" s="23">
        <f t="shared" si="44"/>
        <v>139.94324164908957</v>
      </c>
      <c r="BB27" s="35">
        <f t="shared" si="45"/>
        <v>2025.7</v>
      </c>
      <c r="BC27" s="47">
        <f t="shared" si="46"/>
        <v>0.6666666666666666</v>
      </c>
      <c r="BD27" s="35">
        <f t="shared" si="32"/>
        <v>10.230808080808082</v>
      </c>
    </row>
    <row r="28" spans="1:60" ht="12">
      <c r="A28" s="22" t="s">
        <v>158</v>
      </c>
      <c r="B28" s="24">
        <v>0.802</v>
      </c>
      <c r="C28" s="24">
        <v>1.272</v>
      </c>
      <c r="D28" s="24">
        <v>0.356</v>
      </c>
      <c r="E28" s="24">
        <v>0</v>
      </c>
      <c r="F28" s="24">
        <v>0.125</v>
      </c>
      <c r="G28" s="24">
        <f t="shared" si="47"/>
        <v>0.132</v>
      </c>
      <c r="H28" s="24">
        <f t="shared" si="47"/>
        <v>0.132</v>
      </c>
      <c r="I28" s="25">
        <f t="shared" si="48"/>
        <v>2</v>
      </c>
      <c r="J28" s="16">
        <v>2</v>
      </c>
      <c r="K28" s="26">
        <v>4</v>
      </c>
      <c r="L28" s="24">
        <f>137.196+2*(0.188+0.066)</f>
        <v>137.704</v>
      </c>
      <c r="M28" s="27">
        <f t="shared" si="49"/>
        <v>68.852</v>
      </c>
      <c r="N28" s="28">
        <f t="shared" si="2"/>
        <v>70.65400000000001</v>
      </c>
      <c r="O28" s="28">
        <f t="shared" si="3"/>
        <v>3.604</v>
      </c>
      <c r="P28" s="28">
        <f t="shared" si="4"/>
        <v>144.912</v>
      </c>
      <c r="Q28" s="24">
        <f>Q29+S29+2*(0.188+0.066)</f>
        <v>24.11910236220472</v>
      </c>
      <c r="R28" s="28">
        <f t="shared" si="5"/>
        <v>25.457102362204722</v>
      </c>
      <c r="S28" s="17">
        <f t="shared" si="6"/>
        <v>2.6759999999999997</v>
      </c>
      <c r="T28" s="4">
        <f t="shared" si="38"/>
        <v>2.808</v>
      </c>
      <c r="U28" s="60">
        <v>8</v>
      </c>
      <c r="V28" s="28">
        <f t="shared" si="9"/>
        <v>9.644304</v>
      </c>
      <c r="W28" s="17">
        <f t="shared" si="10"/>
        <v>0.9071931635760018</v>
      </c>
      <c r="X28" s="17">
        <f t="shared" si="11"/>
        <v>7.257545308608014</v>
      </c>
      <c r="Y28" s="18">
        <f t="shared" si="12"/>
        <v>3551.4573975477324</v>
      </c>
      <c r="Z28" s="28">
        <f t="shared" si="13"/>
        <v>0.7525214166421977</v>
      </c>
      <c r="AA28" s="18">
        <f t="shared" si="14"/>
        <v>0.0026571152099452875</v>
      </c>
      <c r="AB28" s="19">
        <f t="shared" si="15"/>
        <v>182193.278750922</v>
      </c>
      <c r="AD28" s="31"/>
      <c r="AF28" s="32"/>
      <c r="AG28" s="23">
        <v>20</v>
      </c>
      <c r="AH28" s="63">
        <v>5</v>
      </c>
      <c r="AI28" s="19">
        <f t="shared" si="16"/>
        <v>2000000000</v>
      </c>
      <c r="AJ28" s="48" t="s">
        <v>111</v>
      </c>
      <c r="AK28" s="48">
        <f t="shared" si="17"/>
        <v>5838423466221866</v>
      </c>
      <c r="AL28" s="23">
        <f t="shared" si="39"/>
        <v>20</v>
      </c>
      <c r="AM28" s="23">
        <f t="shared" si="40"/>
        <v>50.81328135999491</v>
      </c>
      <c r="AN28" s="48">
        <f t="shared" si="41"/>
        <v>5671497.906623831</v>
      </c>
      <c r="AO28" s="48">
        <f t="shared" si="42"/>
        <v>18904.993022079438</v>
      </c>
      <c r="AP28" s="46">
        <f t="shared" si="22"/>
        <v>0.6421807907090047</v>
      </c>
      <c r="AQ28" s="23">
        <f t="shared" si="23"/>
        <v>229.08419265585155</v>
      </c>
      <c r="AR28" s="33">
        <f t="shared" si="24"/>
        <v>0.90424</v>
      </c>
      <c r="AS28" s="35">
        <f t="shared" si="25"/>
        <v>20714.70903671272</v>
      </c>
      <c r="AT28" s="47">
        <f t="shared" si="26"/>
        <v>0.02634009719934559</v>
      </c>
      <c r="AU28" s="35">
        <f t="shared" si="43"/>
        <v>90.20701789771242</v>
      </c>
      <c r="AV28" s="35">
        <f t="shared" si="28"/>
        <v>99.99999176211865</v>
      </c>
      <c r="AW28" s="12">
        <v>2.33179600592698</v>
      </c>
      <c r="AX28" s="20">
        <v>2</v>
      </c>
      <c r="AY28" s="23">
        <f t="shared" si="29"/>
        <v>4.66359201185396</v>
      </c>
      <c r="AZ28" s="48">
        <f t="shared" si="30"/>
        <v>0.0016244468976920467</v>
      </c>
      <c r="BA28" s="23">
        <f t="shared" si="44"/>
        <v>295.96330644727755</v>
      </c>
      <c r="BB28" s="35">
        <f t="shared" si="45"/>
        <v>2025.7</v>
      </c>
      <c r="BC28" s="47">
        <f t="shared" si="46"/>
        <v>0.5</v>
      </c>
      <c r="BD28" s="35">
        <f t="shared" si="32"/>
        <v>7.67310606060606</v>
      </c>
      <c r="BH28" s="1" t="s">
        <v>111</v>
      </c>
    </row>
    <row r="29" spans="1:56" ht="12">
      <c r="A29" s="22" t="s">
        <v>159</v>
      </c>
      <c r="B29" s="24">
        <v>0.802</v>
      </c>
      <c r="C29" s="24">
        <v>1.272</v>
      </c>
      <c r="D29" s="24">
        <v>0.356</v>
      </c>
      <c r="E29" s="24">
        <v>0</v>
      </c>
      <c r="F29" s="24">
        <v>0.125</v>
      </c>
      <c r="G29" s="24">
        <f t="shared" si="47"/>
        <v>0.132</v>
      </c>
      <c r="H29" s="24">
        <f t="shared" si="47"/>
        <v>0.132</v>
      </c>
      <c r="I29" s="25">
        <f t="shared" si="48"/>
        <v>2</v>
      </c>
      <c r="J29" s="16">
        <v>2</v>
      </c>
      <c r="K29" s="26">
        <v>5</v>
      </c>
      <c r="L29" s="24">
        <f>137.196+2*(0.188+0.066)</f>
        <v>137.704</v>
      </c>
      <c r="M29" s="27">
        <f t="shared" si="49"/>
        <v>68.852</v>
      </c>
      <c r="N29" s="28">
        <f t="shared" si="2"/>
        <v>71.12100000000001</v>
      </c>
      <c r="O29" s="28">
        <f t="shared" si="3"/>
        <v>4.538</v>
      </c>
      <c r="P29" s="28">
        <f t="shared" si="4"/>
        <v>146.78</v>
      </c>
      <c r="Q29" s="24">
        <f>52.53/2.54+0.188+0.066</f>
        <v>20.935102362204724</v>
      </c>
      <c r="R29" s="28">
        <f t="shared" si="5"/>
        <v>22.273102362204725</v>
      </c>
      <c r="S29" s="17">
        <f t="shared" si="6"/>
        <v>2.6759999999999997</v>
      </c>
      <c r="T29" s="4">
        <f t="shared" si="38"/>
        <v>2.808</v>
      </c>
      <c r="U29" s="60">
        <v>9</v>
      </c>
      <c r="V29" s="28">
        <f t="shared" si="9"/>
        <v>12.143688</v>
      </c>
      <c r="W29" s="17">
        <f t="shared" si="10"/>
        <v>0.9071931635760018</v>
      </c>
      <c r="X29" s="17">
        <f t="shared" si="11"/>
        <v>8.164738472184016</v>
      </c>
      <c r="Y29" s="18">
        <f t="shared" si="12"/>
        <v>4021.7978000872745</v>
      </c>
      <c r="Z29" s="28">
        <f t="shared" si="13"/>
        <v>0.6723442229563223</v>
      </c>
      <c r="AA29" s="18">
        <f t="shared" si="14"/>
        <v>0.0030090126136147087</v>
      </c>
      <c r="AB29" s="19">
        <f t="shared" si="15"/>
        <v>206322.20681489885</v>
      </c>
      <c r="AC29" s="30">
        <v>9</v>
      </c>
      <c r="AD29" s="31" t="s">
        <v>160</v>
      </c>
      <c r="AE29" s="30">
        <f>SUM(U27:U29)</f>
        <v>22</v>
      </c>
      <c r="AF29" s="32">
        <f>2*SUM(AA27:AA29)</f>
        <v>0.014631696323522424</v>
      </c>
      <c r="AG29" s="23">
        <v>20</v>
      </c>
      <c r="AH29" s="63">
        <v>5</v>
      </c>
      <c r="AI29" s="19">
        <f t="shared" si="16"/>
        <v>2000000000</v>
      </c>
      <c r="AJ29" s="48">
        <f>MIN(AI27:AI29)</f>
        <v>2000000000</v>
      </c>
      <c r="AK29" s="48">
        <f t="shared" si="17"/>
        <v>5838423466221866</v>
      </c>
      <c r="AL29" s="23">
        <f t="shared" si="39"/>
        <v>20</v>
      </c>
      <c r="AM29" s="23">
        <f t="shared" si="40"/>
        <v>50.81328135999491</v>
      </c>
      <c r="AN29" s="48">
        <f t="shared" si="41"/>
        <v>6422607.749654903</v>
      </c>
      <c r="AO29" s="48">
        <f t="shared" si="42"/>
        <v>21408.692498849676</v>
      </c>
      <c r="AP29" s="46">
        <f t="shared" si="22"/>
        <v>0.6421807907090047</v>
      </c>
      <c r="AQ29" s="23">
        <f t="shared" si="23"/>
        <v>213.36849113148935</v>
      </c>
      <c r="AR29" s="33">
        <f t="shared" si="24"/>
        <v>0.90424</v>
      </c>
      <c r="AS29" s="35">
        <f t="shared" si="25"/>
        <v>19293.63244207379</v>
      </c>
      <c r="AT29" s="47">
        <f t="shared" si="26"/>
        <v>0.026812269898929</v>
      </c>
      <c r="AU29" s="35">
        <f t="shared" si="43"/>
        <v>102.15366412221678</v>
      </c>
      <c r="AV29" s="35">
        <f t="shared" si="28"/>
        <v>100.00002823387342</v>
      </c>
      <c r="AW29" s="12">
        <v>2.171829446820475</v>
      </c>
      <c r="AX29" s="20">
        <v>2</v>
      </c>
      <c r="AY29" s="23">
        <f t="shared" si="29"/>
        <v>4.34365889364095</v>
      </c>
      <c r="AZ29" s="48">
        <f t="shared" si="30"/>
        <v>0.0017440958789025466</v>
      </c>
      <c r="BA29" s="23">
        <f t="shared" si="44"/>
        <v>359.84571063194403</v>
      </c>
      <c r="BB29" s="35">
        <f t="shared" si="45"/>
        <v>2025.7</v>
      </c>
      <c r="BC29" s="47">
        <f t="shared" si="46"/>
        <v>0.4</v>
      </c>
      <c r="BD29" s="35">
        <f t="shared" si="32"/>
        <v>6.1384848484848495</v>
      </c>
    </row>
    <row r="30" spans="1:54" ht="12">
      <c r="A30" s="22"/>
      <c r="B30" s="28"/>
      <c r="C30" s="28"/>
      <c r="D30" s="28"/>
      <c r="E30" s="28"/>
      <c r="F30" s="28"/>
      <c r="G30" s="28"/>
      <c r="H30" s="28"/>
      <c r="I30" s="16" t="s">
        <v>111</v>
      </c>
      <c r="J30" s="34"/>
      <c r="K30" s="29"/>
      <c r="L30" s="28"/>
      <c r="M30" s="28"/>
      <c r="N30" s="28"/>
      <c r="O30" s="28"/>
      <c r="P30" s="28"/>
      <c r="Q30" s="28"/>
      <c r="R30" s="28"/>
      <c r="S30" s="28"/>
      <c r="T30" s="4" t="s">
        <v>111</v>
      </c>
      <c r="U30" s="29"/>
      <c r="V30" s="28"/>
      <c r="W30" s="28"/>
      <c r="X30" s="28"/>
      <c r="Y30" s="31"/>
      <c r="Z30" s="28"/>
      <c r="AA30" s="31" t="s">
        <v>161</v>
      </c>
      <c r="AD30" s="31"/>
      <c r="AP30" s="35"/>
      <c r="AW30" s="35"/>
      <c r="AY30" s="35"/>
      <c r="AZ30" s="35"/>
      <c r="BA30" s="35"/>
      <c r="BB30" s="35"/>
    </row>
    <row r="31" spans="1:54" ht="12">
      <c r="A31" s="3" t="s">
        <v>22</v>
      </c>
      <c r="B31" s="4" t="s">
        <v>23</v>
      </c>
      <c r="C31" s="4" t="s">
        <v>24</v>
      </c>
      <c r="D31" s="4" t="s">
        <v>25</v>
      </c>
      <c r="E31" s="4" t="s">
        <v>26</v>
      </c>
      <c r="F31" s="4" t="s">
        <v>27</v>
      </c>
      <c r="G31" s="4" t="s">
        <v>162</v>
      </c>
      <c r="H31" s="4" t="s">
        <v>29</v>
      </c>
      <c r="I31" s="16" t="s">
        <v>30</v>
      </c>
      <c r="J31" s="36" t="s">
        <v>31</v>
      </c>
      <c r="K31" s="5" t="s">
        <v>32</v>
      </c>
      <c r="L31" s="4" t="s">
        <v>33</v>
      </c>
      <c r="M31" s="4" t="s">
        <v>34</v>
      </c>
      <c r="N31" s="4" t="s">
        <v>35</v>
      </c>
      <c r="O31" s="4" t="s">
        <v>36</v>
      </c>
      <c r="P31" s="4" t="s">
        <v>37</v>
      </c>
      <c r="Q31" s="4" t="s">
        <v>38</v>
      </c>
      <c r="R31" s="4" t="s">
        <v>39</v>
      </c>
      <c r="S31" s="4" t="s">
        <v>40</v>
      </c>
      <c r="T31" s="4" t="str">
        <f>S31</f>
        <v>∆Z</v>
      </c>
      <c r="U31" s="5" t="s">
        <v>41</v>
      </c>
      <c r="V31" s="4" t="s">
        <v>42</v>
      </c>
      <c r="W31" s="4" t="s">
        <v>43</v>
      </c>
      <c r="X31" s="4" t="s">
        <v>44</v>
      </c>
      <c r="Y31" s="6" t="s">
        <v>45</v>
      </c>
      <c r="Z31" s="4" t="s">
        <v>46</v>
      </c>
      <c r="AA31" s="6" t="s">
        <v>47</v>
      </c>
      <c r="AB31" s="7"/>
      <c r="AC31" s="8"/>
      <c r="AD31" s="6"/>
      <c r="AE31" s="7"/>
      <c r="AF31" s="7"/>
      <c r="AG31" s="7"/>
      <c r="AH31" s="7"/>
      <c r="AI31" s="7"/>
      <c r="AJ31" s="38"/>
      <c r="AK31" s="38" t="s">
        <v>111</v>
      </c>
      <c r="AL31" s="44"/>
      <c r="AM31" s="53" t="s">
        <v>163</v>
      </c>
      <c r="AN31" s="38">
        <f>AN20+SUM(AN21:AN29)*1/5</f>
        <v>26000490.79626216</v>
      </c>
      <c r="AO31" s="39">
        <f>AN31/trepi</f>
        <v>43334.1513271036</v>
      </c>
      <c r="AP31" s="39"/>
      <c r="AQ31" s="44"/>
      <c r="AR31" s="7" t="s">
        <v>111</v>
      </c>
      <c r="AS31" s="7"/>
      <c r="AT31" s="7"/>
      <c r="AU31" s="44"/>
      <c r="AV31" s="44" t="s">
        <v>111</v>
      </c>
      <c r="AW31" s="39" t="s">
        <v>164</v>
      </c>
      <c r="AX31" s="54">
        <f>SUM(AX4:AX30)-AX20</f>
        <v>33</v>
      </c>
      <c r="AY31" s="54">
        <f>SUM(AY4:AY30)-AY20</f>
        <v>47.22098667112363</v>
      </c>
      <c r="AZ31" s="39" t="s">
        <v>104</v>
      </c>
      <c r="BA31" s="39"/>
      <c r="BB31" s="35"/>
    </row>
    <row r="32" spans="1:66" s="7" customFormat="1" ht="12">
      <c r="A32" s="3" t="s">
        <v>111</v>
      </c>
      <c r="B32" s="4" t="s">
        <v>165</v>
      </c>
      <c r="C32" s="4" t="s">
        <v>165</v>
      </c>
      <c r="D32" s="4" t="s">
        <v>165</v>
      </c>
      <c r="E32" s="4" t="s">
        <v>165</v>
      </c>
      <c r="F32" s="4" t="s">
        <v>165</v>
      </c>
      <c r="G32" s="4" t="s">
        <v>165</v>
      </c>
      <c r="H32" s="4" t="s">
        <v>165</v>
      </c>
      <c r="I32" s="16" t="s">
        <v>111</v>
      </c>
      <c r="J32" s="36"/>
      <c r="K32" s="5"/>
      <c r="L32" s="4" t="s">
        <v>165</v>
      </c>
      <c r="M32" s="4" t="s">
        <v>165</v>
      </c>
      <c r="N32" s="4" t="s">
        <v>165</v>
      </c>
      <c r="O32" s="4" t="s">
        <v>165</v>
      </c>
      <c r="P32" s="4" t="s">
        <v>165</v>
      </c>
      <c r="Q32" s="4" t="s">
        <v>165</v>
      </c>
      <c r="R32" s="4" t="s">
        <v>165</v>
      </c>
      <c r="S32" s="4" t="s">
        <v>165</v>
      </c>
      <c r="T32" s="4" t="str">
        <f>S32</f>
        <v>(cm)</v>
      </c>
      <c r="U32" s="5"/>
      <c r="V32" s="4" t="s">
        <v>166</v>
      </c>
      <c r="W32" s="4" t="s">
        <v>166</v>
      </c>
      <c r="X32" s="4" t="s">
        <v>166</v>
      </c>
      <c r="Y32" s="6" t="s">
        <v>165</v>
      </c>
      <c r="Z32" s="4"/>
      <c r="AA32" s="6" t="s">
        <v>86</v>
      </c>
      <c r="AC32" s="8"/>
      <c r="AD32" s="6"/>
      <c r="AF32" s="7" t="s">
        <v>161</v>
      </c>
      <c r="AJ32" s="38"/>
      <c r="AK32" s="38" t="s">
        <v>111</v>
      </c>
      <c r="AL32" s="44"/>
      <c r="AM32" s="53" t="s">
        <v>167</v>
      </c>
      <c r="AN32" s="38">
        <f>AN20/2+SUM(AN21:AN29)</f>
        <v>55138665.95017114</v>
      </c>
      <c r="AO32" s="39">
        <f>AN32/trep</f>
        <v>183795.55316723714</v>
      </c>
      <c r="AP32" s="7" t="s">
        <v>111</v>
      </c>
      <c r="AQ32" s="44"/>
      <c r="AT32" s="7" t="s">
        <v>111</v>
      </c>
      <c r="AU32" s="44"/>
      <c r="AV32" s="44" t="s">
        <v>111</v>
      </c>
      <c r="AX32" s="8"/>
      <c r="BB32" s="39"/>
      <c r="BC32" s="62"/>
      <c r="BD32" s="44"/>
      <c r="BN32" s="44"/>
    </row>
    <row r="33" spans="1:66" s="7" customFormat="1" ht="12">
      <c r="A33" s="3"/>
      <c r="B33" s="4"/>
      <c r="C33" s="4"/>
      <c r="D33" s="4"/>
      <c r="E33" s="4"/>
      <c r="F33" s="4"/>
      <c r="G33" s="4" t="s">
        <v>112</v>
      </c>
      <c r="H33" s="4" t="s">
        <v>112</v>
      </c>
      <c r="I33" s="16" t="s">
        <v>111</v>
      </c>
      <c r="J33" s="36"/>
      <c r="K33" s="5"/>
      <c r="L33" s="4" t="s">
        <v>112</v>
      </c>
      <c r="M33" s="4" t="s">
        <v>112</v>
      </c>
      <c r="N33" s="4"/>
      <c r="O33" s="4" t="s">
        <v>112</v>
      </c>
      <c r="P33" s="4" t="s">
        <v>112</v>
      </c>
      <c r="Q33" s="4" t="s">
        <v>112</v>
      </c>
      <c r="R33" s="4"/>
      <c r="S33" s="4" t="s">
        <v>112</v>
      </c>
      <c r="T33" s="4" t="s">
        <v>113</v>
      </c>
      <c r="U33" s="5" t="s">
        <v>111</v>
      </c>
      <c r="V33" s="4"/>
      <c r="W33" s="4"/>
      <c r="X33" s="4"/>
      <c r="Y33" s="6"/>
      <c r="Z33" s="4"/>
      <c r="AA33" s="6"/>
      <c r="AB33" s="7" t="s">
        <v>111</v>
      </c>
      <c r="AC33" s="8"/>
      <c r="AD33" s="6"/>
      <c r="AG33" s="7" t="s">
        <v>111</v>
      </c>
      <c r="AJ33" s="38"/>
      <c r="AK33" s="2"/>
      <c r="AL33" s="35"/>
      <c r="AM33" s="53" t="s">
        <v>168</v>
      </c>
      <c r="AN33" s="67">
        <f>SUM(AN21:AN29)</f>
        <v>46820467.28004452</v>
      </c>
      <c r="AO33" s="39">
        <f>AN33/trep</f>
        <v>156068.22426681506</v>
      </c>
      <c r="AQ33" s="44"/>
      <c r="AT33" s="7" t="s">
        <v>111</v>
      </c>
      <c r="AU33" s="44"/>
      <c r="AV33" s="44" t="s">
        <v>111</v>
      </c>
      <c r="AX33" s="8"/>
      <c r="BC33" s="61"/>
      <c r="BD33" s="44"/>
      <c r="BN33" s="44"/>
    </row>
    <row r="34" spans="1:66" s="7" customFormat="1" ht="12">
      <c r="A34" s="14" t="str">
        <f aca="true" t="shared" si="50" ref="A34:A59">A4</f>
        <v>OH1XU</v>
      </c>
      <c r="B34" s="15">
        <f aca="true" t="shared" si="51" ref="B34:H43">B4*2.54</f>
        <v>1.00076</v>
      </c>
      <c r="C34" s="15">
        <f t="shared" si="51"/>
        <v>1.6002</v>
      </c>
      <c r="D34" s="15">
        <f t="shared" si="51"/>
        <v>0.47752</v>
      </c>
      <c r="E34" s="15">
        <f t="shared" si="51"/>
        <v>0</v>
      </c>
      <c r="F34" s="15">
        <f t="shared" si="51"/>
        <v>0.09906</v>
      </c>
      <c r="G34" s="15">
        <f t="shared" si="51"/>
        <v>0.16256</v>
      </c>
      <c r="H34" s="15">
        <f t="shared" si="51"/>
        <v>0.16256</v>
      </c>
      <c r="I34" s="15">
        <f aca="true" t="shared" si="52" ref="I34:K59">I4</f>
        <v>122.8761</v>
      </c>
      <c r="J34" s="15">
        <f t="shared" si="52"/>
        <v>61.18805</v>
      </c>
      <c r="K34" s="58">
        <f t="shared" si="52"/>
        <v>1</v>
      </c>
      <c r="L34" s="15">
        <f aca="true" t="shared" si="53" ref="L34:T34">L4*2.54</f>
        <v>21.88464</v>
      </c>
      <c r="M34" s="15">
        <f t="shared" si="53"/>
        <v>10.94232</v>
      </c>
      <c r="N34" s="15">
        <f t="shared" si="53"/>
        <v>11.4427</v>
      </c>
      <c r="O34" s="15">
        <f t="shared" si="53"/>
        <v>1.00076</v>
      </c>
      <c r="P34" s="15">
        <f t="shared" si="53"/>
        <v>23.88616</v>
      </c>
      <c r="Q34" s="15">
        <f t="shared" si="53"/>
        <v>0</v>
      </c>
      <c r="R34" s="15">
        <f t="shared" si="53"/>
        <v>108.21925701800001</v>
      </c>
      <c r="S34" s="15">
        <f t="shared" si="53"/>
        <v>216.43851403600002</v>
      </c>
      <c r="T34" s="15">
        <f t="shared" si="53"/>
        <v>216.519794036</v>
      </c>
      <c r="U34" s="59">
        <f aca="true" t="shared" si="54" ref="U34:U59">U4</f>
        <v>61.18805</v>
      </c>
      <c r="V34" s="28">
        <f aca="true" t="shared" si="55" ref="V34:X59">V4*2.54^2</f>
        <v>216.60300730666737</v>
      </c>
      <c r="W34" s="28">
        <f t="shared" si="55"/>
        <v>1.4139020092160721</v>
      </c>
      <c r="X34" s="28">
        <f t="shared" si="55"/>
        <v>86.51390683501349</v>
      </c>
      <c r="Y34" s="31">
        <f aca="true" t="shared" si="56" ref="Y34:Y59">Y4*2.54</f>
        <v>4399.21303186124</v>
      </c>
      <c r="Z34" s="28">
        <f aca="true" t="shared" si="57" ref="Z34:Z59">X34/V34</f>
        <v>0.39941230692391433</v>
      </c>
      <c r="AA34" s="32">
        <f aca="true" t="shared" si="58" ref="AA34:AA50">rescopper*(1+coeff*(tinletoh-20))*Y34/W34</f>
        <v>0.005144125438379794</v>
      </c>
      <c r="AB34" s="1" t="s">
        <v>111</v>
      </c>
      <c r="AC34" s="30"/>
      <c r="AD34" s="1"/>
      <c r="AE34" s="1"/>
      <c r="AF34" s="1"/>
      <c r="AG34" s="1"/>
      <c r="AH34" s="1"/>
      <c r="AI34" s="1"/>
      <c r="AJ34" s="2"/>
      <c r="AK34" s="2"/>
      <c r="AL34" s="35"/>
      <c r="AM34" s="1"/>
      <c r="AN34" s="1"/>
      <c r="AO34" s="1"/>
      <c r="AP34" s="1"/>
      <c r="AQ34" s="35"/>
      <c r="AR34" s="1"/>
      <c r="AS34" s="1"/>
      <c r="AT34" s="1"/>
      <c r="AU34" s="35" t="s">
        <v>111</v>
      </c>
      <c r="AV34" s="35" t="s">
        <v>111</v>
      </c>
      <c r="AW34" s="1" t="s">
        <v>111</v>
      </c>
      <c r="AX34" s="30"/>
      <c r="AY34" s="1"/>
      <c r="AZ34" s="1"/>
      <c r="BA34" s="1"/>
      <c r="BC34" s="61"/>
      <c r="BD34" s="44"/>
      <c r="BN34" s="44"/>
    </row>
    <row r="35" spans="1:66" s="7" customFormat="1" ht="12">
      <c r="A35" s="14" t="str">
        <f t="shared" si="50"/>
        <v>OH1XL</v>
      </c>
      <c r="B35" s="15">
        <f t="shared" si="51"/>
        <v>1.00076</v>
      </c>
      <c r="C35" s="15">
        <f t="shared" si="51"/>
        <v>1.6002</v>
      </c>
      <c r="D35" s="15">
        <f t="shared" si="51"/>
        <v>0.47752</v>
      </c>
      <c r="E35" s="15">
        <f t="shared" si="51"/>
        <v>0</v>
      </c>
      <c r="F35" s="15">
        <f t="shared" si="51"/>
        <v>0.09906</v>
      </c>
      <c r="G35" s="15">
        <f t="shared" si="51"/>
        <v>0.16256</v>
      </c>
      <c r="H35" s="15">
        <f t="shared" si="51"/>
        <v>0.16256</v>
      </c>
      <c r="I35" s="15">
        <f t="shared" si="52"/>
        <v>123.1239</v>
      </c>
      <c r="J35" s="15">
        <f t="shared" si="52"/>
        <v>61.31195</v>
      </c>
      <c r="K35" s="58">
        <f t="shared" si="52"/>
        <v>1</v>
      </c>
      <c r="L35" s="15">
        <f aca="true" t="shared" si="59" ref="L35:T35">L5*2.54</f>
        <v>21.88464</v>
      </c>
      <c r="M35" s="15">
        <f t="shared" si="59"/>
        <v>10.94232</v>
      </c>
      <c r="N35" s="15">
        <f t="shared" si="59"/>
        <v>11.4427</v>
      </c>
      <c r="O35" s="15">
        <f t="shared" si="59"/>
        <v>1.00076</v>
      </c>
      <c r="P35" s="15">
        <f t="shared" si="59"/>
        <v>23.88616</v>
      </c>
      <c r="Q35" s="15">
        <f t="shared" si="59"/>
        <v>0</v>
      </c>
      <c r="R35" s="15">
        <f t="shared" si="59"/>
        <v>108.437662982</v>
      </c>
      <c r="S35" s="15">
        <f t="shared" si="59"/>
        <v>216.875325964</v>
      </c>
      <c r="T35" s="15">
        <f t="shared" si="59"/>
        <v>216.956605964</v>
      </c>
      <c r="U35" s="59">
        <f t="shared" si="54"/>
        <v>61.31195</v>
      </c>
      <c r="V35" s="28">
        <f t="shared" si="55"/>
        <v>217.04015121173265</v>
      </c>
      <c r="W35" s="28">
        <f t="shared" si="55"/>
        <v>1.4139020092160721</v>
      </c>
      <c r="X35" s="28">
        <f t="shared" si="55"/>
        <v>86.68908929395536</v>
      </c>
      <c r="Y35" s="31">
        <f t="shared" si="56"/>
        <v>4408.121021160582</v>
      </c>
      <c r="Z35" s="28">
        <f t="shared" si="57"/>
        <v>0.39941498754940585</v>
      </c>
      <c r="AA35" s="32">
        <f t="shared" si="58"/>
        <v>0.005154541804677056</v>
      </c>
      <c r="AB35" s="1" t="s">
        <v>111</v>
      </c>
      <c r="AC35" s="30"/>
      <c r="AD35" s="1"/>
      <c r="AE35" s="1"/>
      <c r="AF35" s="1"/>
      <c r="AG35" s="1"/>
      <c r="AH35" s="1"/>
      <c r="AI35" s="1"/>
      <c r="AJ35" s="2"/>
      <c r="AK35" s="2"/>
      <c r="AL35" s="35"/>
      <c r="AM35" s="1"/>
      <c r="AN35" s="1"/>
      <c r="AO35" s="1"/>
      <c r="AP35" s="1"/>
      <c r="AQ35" s="35"/>
      <c r="AR35" s="1"/>
      <c r="AS35" s="1"/>
      <c r="AT35" s="1"/>
      <c r="AU35" s="35" t="s">
        <v>111</v>
      </c>
      <c r="AV35" s="35" t="s">
        <v>111</v>
      </c>
      <c r="AW35" s="1" t="s">
        <v>111</v>
      </c>
      <c r="AX35" s="30"/>
      <c r="AY35" s="1"/>
      <c r="AZ35" s="1"/>
      <c r="BA35" s="1"/>
      <c r="BC35" s="61"/>
      <c r="BD35" s="44"/>
      <c r="BN35" s="44"/>
    </row>
    <row r="36" spans="1:66" s="7" customFormat="1" ht="12">
      <c r="A36" s="14" t="str">
        <f t="shared" si="50"/>
        <v>OH1YU</v>
      </c>
      <c r="B36" s="15">
        <f t="shared" si="51"/>
        <v>1.00076</v>
      </c>
      <c r="C36" s="15">
        <f t="shared" si="51"/>
        <v>1.6002</v>
      </c>
      <c r="D36" s="15">
        <f t="shared" si="51"/>
        <v>0.47752</v>
      </c>
      <c r="E36" s="15">
        <f t="shared" si="51"/>
        <v>0</v>
      </c>
      <c r="F36" s="15">
        <f t="shared" si="51"/>
        <v>0.09906</v>
      </c>
      <c r="G36" s="15">
        <f t="shared" si="51"/>
        <v>0.16256</v>
      </c>
      <c r="H36" s="15">
        <f t="shared" si="51"/>
        <v>0.16256</v>
      </c>
      <c r="I36" s="15">
        <f t="shared" si="52"/>
        <v>123.3674</v>
      </c>
      <c r="J36" s="15">
        <f t="shared" si="52"/>
        <v>61.4337</v>
      </c>
      <c r="K36" s="58">
        <f t="shared" si="52"/>
        <v>1</v>
      </c>
      <c r="L36" s="15">
        <f aca="true" t="shared" si="60" ref="L36:T36">L6*2.54</f>
        <v>21.88464</v>
      </c>
      <c r="M36" s="15">
        <f t="shared" si="60"/>
        <v>10.94232</v>
      </c>
      <c r="N36" s="15">
        <f t="shared" si="60"/>
        <v>11.4427</v>
      </c>
      <c r="O36" s="15">
        <f t="shared" si="60"/>
        <v>1.00076</v>
      </c>
      <c r="P36" s="15">
        <f t="shared" si="60"/>
        <v>23.88616</v>
      </c>
      <c r="Q36" s="15">
        <f t="shared" si="60"/>
        <v>0</v>
      </c>
      <c r="R36" s="15">
        <f t="shared" si="60"/>
        <v>108.652279012</v>
      </c>
      <c r="S36" s="15">
        <f t="shared" si="60"/>
        <v>217.304558024</v>
      </c>
      <c r="T36" s="15">
        <f t="shared" si="60"/>
        <v>217.38583802399998</v>
      </c>
      <c r="U36" s="59">
        <f t="shared" si="54"/>
        <v>61.4337</v>
      </c>
      <c r="V36" s="28">
        <f t="shared" si="55"/>
        <v>217.46970948809823</v>
      </c>
      <c r="W36" s="28">
        <f t="shared" si="55"/>
        <v>1.4139020092160721</v>
      </c>
      <c r="X36" s="28">
        <f t="shared" si="55"/>
        <v>86.86123186357742</v>
      </c>
      <c r="Y36" s="31">
        <f t="shared" si="56"/>
        <v>4416.874432760218</v>
      </c>
      <c r="Z36" s="28">
        <f t="shared" si="57"/>
        <v>0.39941761116083707</v>
      </c>
      <c r="AA36" s="32">
        <f t="shared" si="58"/>
        <v>0.00516477741885536</v>
      </c>
      <c r="AB36" s="1" t="s">
        <v>111</v>
      </c>
      <c r="AC36" s="30"/>
      <c r="AD36" s="1"/>
      <c r="AE36" s="1"/>
      <c r="AF36" s="1"/>
      <c r="AG36" s="1"/>
      <c r="AH36" s="1"/>
      <c r="AI36" s="1"/>
      <c r="AJ36" s="2"/>
      <c r="AK36" s="2"/>
      <c r="AL36" s="35"/>
      <c r="AM36" s="1"/>
      <c r="AN36" s="1"/>
      <c r="AO36" s="1"/>
      <c r="AP36" s="1"/>
      <c r="AQ36" s="35"/>
      <c r="AR36" s="1"/>
      <c r="AS36" s="1"/>
      <c r="AT36" s="1"/>
      <c r="AU36" s="35" t="s">
        <v>111</v>
      </c>
      <c r="AV36" s="35" t="s">
        <v>111</v>
      </c>
      <c r="AW36" s="1" t="s">
        <v>111</v>
      </c>
      <c r="AX36" s="30"/>
      <c r="AY36" s="1"/>
      <c r="AZ36" s="1"/>
      <c r="BA36" s="1"/>
      <c r="BC36" s="61"/>
      <c r="BD36" s="44"/>
      <c r="BN36" s="44"/>
    </row>
    <row r="37" spans="1:66" s="7" customFormat="1" ht="12">
      <c r="A37" s="14" t="str">
        <f t="shared" si="50"/>
        <v>OH1YL</v>
      </c>
      <c r="B37" s="15">
        <f t="shared" si="51"/>
        <v>1.00076</v>
      </c>
      <c r="C37" s="15">
        <f t="shared" si="51"/>
        <v>1.6002</v>
      </c>
      <c r="D37" s="15">
        <f t="shared" si="51"/>
        <v>0.47752</v>
      </c>
      <c r="E37" s="15">
        <f t="shared" si="51"/>
        <v>0</v>
      </c>
      <c r="F37" s="15">
        <f t="shared" si="51"/>
        <v>0.09906</v>
      </c>
      <c r="G37" s="15">
        <f t="shared" si="51"/>
        <v>0.16256</v>
      </c>
      <c r="H37" s="15">
        <f t="shared" si="51"/>
        <v>0.16256</v>
      </c>
      <c r="I37" s="15">
        <f t="shared" si="52"/>
        <v>123.1326</v>
      </c>
      <c r="J37" s="15">
        <f t="shared" si="52"/>
        <v>61.3163</v>
      </c>
      <c r="K37" s="58">
        <f t="shared" si="52"/>
        <v>1</v>
      </c>
      <c r="L37" s="15">
        <f aca="true" t="shared" si="61" ref="L37:T37">L7*2.54</f>
        <v>21.88464</v>
      </c>
      <c r="M37" s="15">
        <f t="shared" si="61"/>
        <v>10.94232</v>
      </c>
      <c r="N37" s="15">
        <f t="shared" si="61"/>
        <v>11.4427</v>
      </c>
      <c r="O37" s="15">
        <f t="shared" si="61"/>
        <v>1.00076</v>
      </c>
      <c r="P37" s="15">
        <f t="shared" si="61"/>
        <v>23.88616</v>
      </c>
      <c r="Q37" s="15">
        <f t="shared" si="61"/>
        <v>0</v>
      </c>
      <c r="R37" s="15">
        <f t="shared" si="61"/>
        <v>108.44533098800001</v>
      </c>
      <c r="S37" s="15">
        <f t="shared" si="61"/>
        <v>216.89066197600002</v>
      </c>
      <c r="T37" s="15">
        <f t="shared" si="61"/>
        <v>216.971941976</v>
      </c>
      <c r="U37" s="59">
        <f t="shared" si="54"/>
        <v>61.3163</v>
      </c>
      <c r="V37" s="28">
        <f t="shared" si="55"/>
        <v>217.05549887910178</v>
      </c>
      <c r="W37" s="28">
        <f t="shared" si="55"/>
        <v>1.4139020092160721</v>
      </c>
      <c r="X37" s="28">
        <f t="shared" si="55"/>
        <v>86.69523976769544</v>
      </c>
      <c r="Y37" s="31">
        <f t="shared" si="56"/>
        <v>4408.43377139022</v>
      </c>
      <c r="Z37" s="28">
        <f t="shared" si="57"/>
        <v>0.3994150814671782</v>
      </c>
      <c r="AA37" s="32">
        <f t="shared" si="58"/>
        <v>0.005154907512452626</v>
      </c>
      <c r="AB37" s="1" t="s">
        <v>111</v>
      </c>
      <c r="AC37" s="30"/>
      <c r="AD37" s="1"/>
      <c r="AE37" s="1"/>
      <c r="AF37" s="1"/>
      <c r="AG37" s="1"/>
      <c r="AH37" s="1"/>
      <c r="AI37" s="1"/>
      <c r="AJ37" s="2"/>
      <c r="AK37" s="2"/>
      <c r="AL37" s="35"/>
      <c r="AM37" s="1"/>
      <c r="AN37" s="1"/>
      <c r="AO37" s="1"/>
      <c r="AP37" s="1"/>
      <c r="AQ37" s="35"/>
      <c r="AR37" s="1"/>
      <c r="AS37" s="1"/>
      <c r="AT37" s="1"/>
      <c r="AU37" s="35" t="s">
        <v>111</v>
      </c>
      <c r="AV37" s="35" t="s">
        <v>111</v>
      </c>
      <c r="AW37" s="1" t="s">
        <v>111</v>
      </c>
      <c r="AX37" s="30"/>
      <c r="AY37" s="1"/>
      <c r="AZ37" s="1"/>
      <c r="BA37" s="1"/>
      <c r="BC37" s="61"/>
      <c r="BD37" s="44"/>
      <c r="BN37" s="44"/>
    </row>
    <row r="38" spans="1:66" s="7" customFormat="1" ht="12">
      <c r="A38" s="14" t="str">
        <f t="shared" si="50"/>
        <v>OH2XU</v>
      </c>
      <c r="B38" s="15">
        <f t="shared" si="51"/>
        <v>1.00076</v>
      </c>
      <c r="C38" s="15">
        <f t="shared" si="51"/>
        <v>1.6002</v>
      </c>
      <c r="D38" s="15">
        <f t="shared" si="51"/>
        <v>0.47752</v>
      </c>
      <c r="E38" s="15">
        <f t="shared" si="51"/>
        <v>0</v>
      </c>
      <c r="F38" s="15">
        <f t="shared" si="51"/>
        <v>0.09906</v>
      </c>
      <c r="G38" s="15">
        <f t="shared" si="51"/>
        <v>0.16256</v>
      </c>
      <c r="H38" s="15">
        <f t="shared" si="51"/>
        <v>0.16256</v>
      </c>
      <c r="I38" s="15">
        <f t="shared" si="52"/>
        <v>121.8761</v>
      </c>
      <c r="J38" s="15">
        <f t="shared" si="52"/>
        <v>60.68805</v>
      </c>
      <c r="K38" s="58">
        <f t="shared" si="52"/>
        <v>1</v>
      </c>
      <c r="L38" s="15">
        <f aca="true" t="shared" si="62" ref="L38:T38">L8*2.54</f>
        <v>24.211280000000002</v>
      </c>
      <c r="M38" s="15">
        <f t="shared" si="62"/>
        <v>12.105640000000001</v>
      </c>
      <c r="N38" s="15">
        <f t="shared" si="62"/>
        <v>12.606020000000001</v>
      </c>
      <c r="O38" s="15">
        <f t="shared" si="62"/>
        <v>1.00076</v>
      </c>
      <c r="P38" s="15">
        <f t="shared" si="62"/>
        <v>26.2128</v>
      </c>
      <c r="Q38" s="15">
        <f t="shared" si="62"/>
        <v>0</v>
      </c>
      <c r="R38" s="15">
        <f t="shared" si="62"/>
        <v>107.337877018</v>
      </c>
      <c r="S38" s="15">
        <f t="shared" si="62"/>
        <v>214.675754036</v>
      </c>
      <c r="T38" s="15">
        <f t="shared" si="62"/>
        <v>214.757034036</v>
      </c>
      <c r="U38" s="59">
        <f t="shared" si="54"/>
        <v>60.68805</v>
      </c>
      <c r="V38" s="28">
        <f t="shared" si="55"/>
        <v>214.83890760906738</v>
      </c>
      <c r="W38" s="28">
        <f t="shared" si="55"/>
        <v>1.4139020092160721</v>
      </c>
      <c r="X38" s="28">
        <f t="shared" si="55"/>
        <v>85.80695583040544</v>
      </c>
      <c r="Y38" s="31">
        <f t="shared" si="56"/>
        <v>4806.855239295159</v>
      </c>
      <c r="Z38" s="28">
        <f t="shared" si="57"/>
        <v>0.3994013783878685</v>
      </c>
      <c r="AA38" s="32">
        <f t="shared" si="58"/>
        <v>0.0056207931136732815</v>
      </c>
      <c r="AB38" s="1" t="s">
        <v>111</v>
      </c>
      <c r="AC38" s="30"/>
      <c r="AD38" s="1"/>
      <c r="AE38" s="1"/>
      <c r="AF38" s="1"/>
      <c r="AG38" s="1"/>
      <c r="AH38" s="1"/>
      <c r="AI38" s="1"/>
      <c r="AJ38" s="2"/>
      <c r="AK38" s="2"/>
      <c r="AL38" s="35"/>
      <c r="AM38" s="1"/>
      <c r="AN38" s="1"/>
      <c r="AO38" s="1"/>
      <c r="AP38" s="1"/>
      <c r="AQ38" s="35"/>
      <c r="AR38" s="1"/>
      <c r="AS38" s="1"/>
      <c r="AT38" s="1"/>
      <c r="AU38" s="35" t="s">
        <v>111</v>
      </c>
      <c r="AV38" s="35" t="s">
        <v>111</v>
      </c>
      <c r="AW38" s="1" t="s">
        <v>111</v>
      </c>
      <c r="AX38" s="30"/>
      <c r="AY38" s="1"/>
      <c r="AZ38" s="1"/>
      <c r="BA38" s="1"/>
      <c r="BC38" s="61"/>
      <c r="BD38" s="44"/>
      <c r="BN38" s="44"/>
    </row>
    <row r="39" spans="1:66" s="7" customFormat="1" ht="12">
      <c r="A39" s="14" t="str">
        <f t="shared" si="50"/>
        <v>OH2XL</v>
      </c>
      <c r="B39" s="15">
        <f t="shared" si="51"/>
        <v>1.00076</v>
      </c>
      <c r="C39" s="15">
        <f t="shared" si="51"/>
        <v>1.6002</v>
      </c>
      <c r="D39" s="15">
        <f t="shared" si="51"/>
        <v>0.47752</v>
      </c>
      <c r="E39" s="15">
        <f t="shared" si="51"/>
        <v>0</v>
      </c>
      <c r="F39" s="15">
        <f t="shared" si="51"/>
        <v>0.09906</v>
      </c>
      <c r="G39" s="15">
        <f t="shared" si="51"/>
        <v>0.16256</v>
      </c>
      <c r="H39" s="15">
        <f t="shared" si="51"/>
        <v>0.16256</v>
      </c>
      <c r="I39" s="15">
        <f t="shared" si="52"/>
        <v>121.1239</v>
      </c>
      <c r="J39" s="15">
        <f t="shared" si="52"/>
        <v>60.31195</v>
      </c>
      <c r="K39" s="58">
        <f t="shared" si="52"/>
        <v>1</v>
      </c>
      <c r="L39" s="15">
        <f aca="true" t="shared" si="63" ref="L39:T39">L9*2.54</f>
        <v>24.211280000000002</v>
      </c>
      <c r="M39" s="15">
        <f t="shared" si="63"/>
        <v>12.105640000000001</v>
      </c>
      <c r="N39" s="15">
        <f t="shared" si="63"/>
        <v>12.606020000000001</v>
      </c>
      <c r="O39" s="15">
        <f t="shared" si="63"/>
        <v>1.00076</v>
      </c>
      <c r="P39" s="15">
        <f t="shared" si="63"/>
        <v>26.2128</v>
      </c>
      <c r="Q39" s="15">
        <f t="shared" si="63"/>
        <v>0</v>
      </c>
      <c r="R39" s="15">
        <f t="shared" si="63"/>
        <v>106.674902982</v>
      </c>
      <c r="S39" s="15">
        <f t="shared" si="63"/>
        <v>213.349805964</v>
      </c>
      <c r="T39" s="15">
        <f t="shared" si="63"/>
        <v>213.431085964</v>
      </c>
      <c r="U39" s="59">
        <f t="shared" si="54"/>
        <v>60.31195</v>
      </c>
      <c r="V39" s="28">
        <f t="shared" si="55"/>
        <v>213.5119518165327</v>
      </c>
      <c r="W39" s="28">
        <f t="shared" si="55"/>
        <v>1.4139020092160721</v>
      </c>
      <c r="X39" s="28">
        <f t="shared" si="55"/>
        <v>85.27518728473929</v>
      </c>
      <c r="Y39" s="31">
        <f t="shared" si="56"/>
        <v>4777.065877872294</v>
      </c>
      <c r="Z39" s="28">
        <f t="shared" si="57"/>
        <v>0.3993930389340211</v>
      </c>
      <c r="AA39" s="32">
        <f t="shared" si="58"/>
        <v>0.005585959562586163</v>
      </c>
      <c r="AB39" s="1" t="s">
        <v>111</v>
      </c>
      <c r="AC39" s="30"/>
      <c r="AD39" s="1"/>
      <c r="AE39" s="1"/>
      <c r="AF39" s="1"/>
      <c r="AG39" s="1"/>
      <c r="AH39" s="1"/>
      <c r="AI39" s="1"/>
      <c r="AJ39" s="2"/>
      <c r="AK39" s="2"/>
      <c r="AL39" s="35"/>
      <c r="AM39" s="1"/>
      <c r="AN39" s="1"/>
      <c r="AO39" s="1"/>
      <c r="AP39" s="1"/>
      <c r="AQ39" s="35"/>
      <c r="AR39" s="1"/>
      <c r="AS39" s="1"/>
      <c r="AT39" s="1"/>
      <c r="AU39" s="35" t="s">
        <v>111</v>
      </c>
      <c r="AV39" s="35" t="s">
        <v>111</v>
      </c>
      <c r="AW39" s="1" t="s">
        <v>111</v>
      </c>
      <c r="AX39" s="30"/>
      <c r="AY39" s="1"/>
      <c r="AZ39" s="1"/>
      <c r="BA39" s="1"/>
      <c r="BC39" s="61"/>
      <c r="BD39" s="44"/>
      <c r="BN39" s="44"/>
    </row>
    <row r="40" spans="1:66" s="7" customFormat="1" ht="12">
      <c r="A40" s="14" t="str">
        <f t="shared" si="50"/>
        <v>OH2YU</v>
      </c>
      <c r="B40" s="15">
        <f t="shared" si="51"/>
        <v>1.00076</v>
      </c>
      <c r="C40" s="15">
        <f t="shared" si="51"/>
        <v>1.6002</v>
      </c>
      <c r="D40" s="15">
        <f t="shared" si="51"/>
        <v>0.47752</v>
      </c>
      <c r="E40" s="15">
        <f t="shared" si="51"/>
        <v>0</v>
      </c>
      <c r="F40" s="15">
        <f t="shared" si="51"/>
        <v>0.09906</v>
      </c>
      <c r="G40" s="15">
        <f t="shared" si="51"/>
        <v>0.16256</v>
      </c>
      <c r="H40" s="15">
        <f t="shared" si="51"/>
        <v>0.16256</v>
      </c>
      <c r="I40" s="15">
        <f t="shared" si="52"/>
        <v>121.8761</v>
      </c>
      <c r="J40" s="15">
        <f t="shared" si="52"/>
        <v>60.68805</v>
      </c>
      <c r="K40" s="58">
        <f t="shared" si="52"/>
        <v>1</v>
      </c>
      <c r="L40" s="15">
        <f aca="true" t="shared" si="64" ref="L40:T40">L10*2.54</f>
        <v>24.211280000000002</v>
      </c>
      <c r="M40" s="15">
        <f t="shared" si="64"/>
        <v>12.105640000000001</v>
      </c>
      <c r="N40" s="15">
        <f t="shared" si="64"/>
        <v>12.606020000000001</v>
      </c>
      <c r="O40" s="15">
        <f t="shared" si="64"/>
        <v>1.00076</v>
      </c>
      <c r="P40" s="15">
        <f t="shared" si="64"/>
        <v>26.2128</v>
      </c>
      <c r="Q40" s="15">
        <f t="shared" si="64"/>
        <v>0</v>
      </c>
      <c r="R40" s="15">
        <f t="shared" si="64"/>
        <v>107.337877018</v>
      </c>
      <c r="S40" s="15">
        <f t="shared" si="64"/>
        <v>214.675754036</v>
      </c>
      <c r="T40" s="15">
        <f t="shared" si="64"/>
        <v>214.757034036</v>
      </c>
      <c r="U40" s="59">
        <f t="shared" si="54"/>
        <v>60.68805</v>
      </c>
      <c r="V40" s="28">
        <f t="shared" si="55"/>
        <v>214.83890760906738</v>
      </c>
      <c r="W40" s="28">
        <f t="shared" si="55"/>
        <v>1.4139020092160721</v>
      </c>
      <c r="X40" s="28">
        <f t="shared" si="55"/>
        <v>85.80695583040544</v>
      </c>
      <c r="Y40" s="31">
        <f t="shared" si="56"/>
        <v>4806.855239295159</v>
      </c>
      <c r="Z40" s="28">
        <f t="shared" si="57"/>
        <v>0.3994013783878685</v>
      </c>
      <c r="AA40" s="32">
        <f t="shared" si="58"/>
        <v>0.0056207931136732815</v>
      </c>
      <c r="AB40" s="1" t="s">
        <v>111</v>
      </c>
      <c r="AC40" s="30"/>
      <c r="AD40" s="1"/>
      <c r="AE40" s="1"/>
      <c r="AF40" s="1"/>
      <c r="AG40" s="1"/>
      <c r="AH40" s="1"/>
      <c r="AI40" s="1"/>
      <c r="AJ40" s="2"/>
      <c r="AK40" s="2"/>
      <c r="AL40" s="35"/>
      <c r="AM40" s="1"/>
      <c r="AN40" s="1"/>
      <c r="AO40" s="1"/>
      <c r="AP40" s="1"/>
      <c r="AQ40" s="35"/>
      <c r="AR40" s="1"/>
      <c r="AS40" s="1"/>
      <c r="AT40" s="1"/>
      <c r="AU40" s="35" t="s">
        <v>111</v>
      </c>
      <c r="AV40" s="35" t="s">
        <v>111</v>
      </c>
      <c r="AW40" s="1" t="s">
        <v>111</v>
      </c>
      <c r="AX40" s="30"/>
      <c r="AY40" s="1"/>
      <c r="AZ40" s="1"/>
      <c r="BA40" s="1"/>
      <c r="BC40" s="61"/>
      <c r="BD40" s="44"/>
      <c r="BN40" s="44"/>
    </row>
    <row r="41" spans="1:66" s="7" customFormat="1" ht="12">
      <c r="A41" s="14" t="str">
        <f t="shared" si="50"/>
        <v>OH2YL</v>
      </c>
      <c r="B41" s="15">
        <f t="shared" si="51"/>
        <v>1.00076</v>
      </c>
      <c r="C41" s="15">
        <f t="shared" si="51"/>
        <v>1.6002</v>
      </c>
      <c r="D41" s="15">
        <f t="shared" si="51"/>
        <v>0.47752</v>
      </c>
      <c r="E41" s="15">
        <f t="shared" si="51"/>
        <v>0</v>
      </c>
      <c r="F41" s="15">
        <f t="shared" si="51"/>
        <v>0.09906</v>
      </c>
      <c r="G41" s="15">
        <f t="shared" si="51"/>
        <v>0.16256</v>
      </c>
      <c r="H41" s="15">
        <f t="shared" si="51"/>
        <v>0.16256</v>
      </c>
      <c r="I41" s="15">
        <f t="shared" si="52"/>
        <v>121.1239</v>
      </c>
      <c r="J41" s="15">
        <f t="shared" si="52"/>
        <v>60.31195</v>
      </c>
      <c r="K41" s="58">
        <f t="shared" si="52"/>
        <v>1</v>
      </c>
      <c r="L41" s="15">
        <f aca="true" t="shared" si="65" ref="L41:T41">L11*2.54</f>
        <v>24.211280000000002</v>
      </c>
      <c r="M41" s="15">
        <f t="shared" si="65"/>
        <v>12.105640000000001</v>
      </c>
      <c r="N41" s="15">
        <f t="shared" si="65"/>
        <v>12.606020000000001</v>
      </c>
      <c r="O41" s="15">
        <f t="shared" si="65"/>
        <v>1.00076</v>
      </c>
      <c r="P41" s="15">
        <f t="shared" si="65"/>
        <v>26.2128</v>
      </c>
      <c r="Q41" s="15">
        <f t="shared" si="65"/>
        <v>0</v>
      </c>
      <c r="R41" s="15">
        <f t="shared" si="65"/>
        <v>106.674902982</v>
      </c>
      <c r="S41" s="15">
        <f t="shared" si="65"/>
        <v>213.349805964</v>
      </c>
      <c r="T41" s="15">
        <f t="shared" si="65"/>
        <v>213.431085964</v>
      </c>
      <c r="U41" s="59">
        <f t="shared" si="54"/>
        <v>60.31195</v>
      </c>
      <c r="V41" s="28">
        <f t="shared" si="55"/>
        <v>213.5119518165327</v>
      </c>
      <c r="W41" s="28">
        <f t="shared" si="55"/>
        <v>1.4139020092160721</v>
      </c>
      <c r="X41" s="28">
        <f t="shared" si="55"/>
        <v>85.27518728473929</v>
      </c>
      <c r="Y41" s="31">
        <f t="shared" si="56"/>
        <v>4777.065877872294</v>
      </c>
      <c r="Z41" s="28">
        <f t="shared" si="57"/>
        <v>0.3993930389340211</v>
      </c>
      <c r="AA41" s="32">
        <f t="shared" si="58"/>
        <v>0.005585959562586163</v>
      </c>
      <c r="AB41" s="1" t="s">
        <v>111</v>
      </c>
      <c r="AC41" s="30"/>
      <c r="AD41" s="1"/>
      <c r="AE41" s="1"/>
      <c r="AF41" s="1"/>
      <c r="AG41" s="1"/>
      <c r="AH41" s="1"/>
      <c r="AI41" s="1"/>
      <c r="AJ41" s="2"/>
      <c r="AK41" s="2"/>
      <c r="AL41" s="35"/>
      <c r="AM41" s="1"/>
      <c r="AN41" s="1"/>
      <c r="AO41" s="1"/>
      <c r="AP41" s="1"/>
      <c r="AQ41" s="35"/>
      <c r="AR41" s="1"/>
      <c r="AS41" s="1"/>
      <c r="AT41" s="1"/>
      <c r="AU41" s="35" t="s">
        <v>111</v>
      </c>
      <c r="AV41" s="35" t="s">
        <v>111</v>
      </c>
      <c r="AW41" s="1" t="s">
        <v>111</v>
      </c>
      <c r="AX41" s="30"/>
      <c r="AY41" s="1"/>
      <c r="AZ41" s="1"/>
      <c r="BA41" s="1"/>
      <c r="BC41" s="61"/>
      <c r="BD41" s="44"/>
      <c r="BN41" s="44"/>
    </row>
    <row r="42" spans="1:66" s="7" customFormat="1" ht="12">
      <c r="A42" s="14" t="str">
        <f t="shared" si="50"/>
        <v>OH3XU</v>
      </c>
      <c r="B42" s="15">
        <f t="shared" si="51"/>
        <v>1.00076</v>
      </c>
      <c r="C42" s="15">
        <f t="shared" si="51"/>
        <v>1.6002</v>
      </c>
      <c r="D42" s="15">
        <f t="shared" si="51"/>
        <v>0.47752</v>
      </c>
      <c r="E42" s="15">
        <f t="shared" si="51"/>
        <v>0</v>
      </c>
      <c r="F42" s="15">
        <f t="shared" si="51"/>
        <v>0.09906</v>
      </c>
      <c r="G42" s="15">
        <f t="shared" si="51"/>
        <v>0.16256</v>
      </c>
      <c r="H42" s="15">
        <f t="shared" si="51"/>
        <v>0.16256</v>
      </c>
      <c r="I42" s="15">
        <f t="shared" si="52"/>
        <v>119.3761</v>
      </c>
      <c r="J42" s="15">
        <f t="shared" si="52"/>
        <v>59.43805</v>
      </c>
      <c r="K42" s="58">
        <f t="shared" si="52"/>
        <v>1</v>
      </c>
      <c r="L42" s="15">
        <f aca="true" t="shared" si="66" ref="L42:T42">L12*2.54</f>
        <v>26.53792</v>
      </c>
      <c r="M42" s="15">
        <f t="shared" si="66"/>
        <v>13.26896</v>
      </c>
      <c r="N42" s="15">
        <f t="shared" si="66"/>
        <v>13.769340000000001</v>
      </c>
      <c r="O42" s="15">
        <f t="shared" si="66"/>
        <v>1.00076</v>
      </c>
      <c r="P42" s="15">
        <f t="shared" si="66"/>
        <v>28.539440000000003</v>
      </c>
      <c r="Q42" s="15">
        <f t="shared" si="66"/>
        <v>0</v>
      </c>
      <c r="R42" s="15">
        <f t="shared" si="66"/>
        <v>105.134427018</v>
      </c>
      <c r="S42" s="15">
        <f t="shared" si="66"/>
        <v>210.268854036</v>
      </c>
      <c r="T42" s="15">
        <f t="shared" si="66"/>
        <v>210.350134036</v>
      </c>
      <c r="U42" s="59">
        <f t="shared" si="54"/>
        <v>59.43805</v>
      </c>
      <c r="V42" s="28">
        <f t="shared" si="55"/>
        <v>210.42865836506735</v>
      </c>
      <c r="W42" s="28">
        <f t="shared" si="55"/>
        <v>1.4139020092160721</v>
      </c>
      <c r="X42" s="28">
        <f t="shared" si="55"/>
        <v>84.03957831888535</v>
      </c>
      <c r="Y42" s="31">
        <f t="shared" si="56"/>
        <v>5142.30160551436</v>
      </c>
      <c r="Z42" s="28">
        <f t="shared" si="57"/>
        <v>0.3993732553913223</v>
      </c>
      <c r="AA42" s="32">
        <f t="shared" si="58"/>
        <v>0.006013040129942505</v>
      </c>
      <c r="AB42" s="1" t="s">
        <v>111</v>
      </c>
      <c r="AC42" s="30"/>
      <c r="AD42" s="1"/>
      <c r="AE42" s="1"/>
      <c r="AF42" s="1"/>
      <c r="AG42" s="1"/>
      <c r="AH42" s="1"/>
      <c r="AI42" s="1"/>
      <c r="AJ42" s="2"/>
      <c r="AK42" s="2"/>
      <c r="AL42" s="35"/>
      <c r="AM42" s="1"/>
      <c r="AN42" s="1"/>
      <c r="AO42" s="1"/>
      <c r="AP42" s="1"/>
      <c r="AQ42" s="35"/>
      <c r="AR42" s="1"/>
      <c r="AS42" s="1"/>
      <c r="AT42" s="1"/>
      <c r="AU42" s="35" t="s">
        <v>111</v>
      </c>
      <c r="AV42" s="35" t="s">
        <v>111</v>
      </c>
      <c r="AW42" s="1" t="s">
        <v>111</v>
      </c>
      <c r="AX42" s="30"/>
      <c r="AY42" s="1"/>
      <c r="AZ42" s="1"/>
      <c r="BA42" s="1"/>
      <c r="BC42" s="61"/>
      <c r="BD42" s="44"/>
      <c r="BN42" s="44"/>
    </row>
    <row r="43" spans="1:66" s="7" customFormat="1" ht="12">
      <c r="A43" s="14" t="str">
        <f t="shared" si="50"/>
        <v>OH3XL</v>
      </c>
      <c r="B43" s="15">
        <f t="shared" si="51"/>
        <v>1.00076</v>
      </c>
      <c r="C43" s="15">
        <f t="shared" si="51"/>
        <v>1.6002</v>
      </c>
      <c r="D43" s="15">
        <f t="shared" si="51"/>
        <v>0.47752</v>
      </c>
      <c r="E43" s="15">
        <f t="shared" si="51"/>
        <v>0</v>
      </c>
      <c r="F43" s="15">
        <f t="shared" si="51"/>
        <v>0.09906</v>
      </c>
      <c r="G43" s="15">
        <f t="shared" si="51"/>
        <v>0.16256</v>
      </c>
      <c r="H43" s="15">
        <f t="shared" si="51"/>
        <v>0.16256</v>
      </c>
      <c r="I43" s="15">
        <f t="shared" si="52"/>
        <v>120.6239</v>
      </c>
      <c r="J43" s="15">
        <f t="shared" si="52"/>
        <v>60.06195</v>
      </c>
      <c r="K43" s="58">
        <f t="shared" si="52"/>
        <v>1</v>
      </c>
      <c r="L43" s="15">
        <f aca="true" t="shared" si="67" ref="L43:T43">L13*2.54</f>
        <v>26.53792</v>
      </c>
      <c r="M43" s="15">
        <f t="shared" si="67"/>
        <v>13.26896</v>
      </c>
      <c r="N43" s="15">
        <f t="shared" si="67"/>
        <v>13.769340000000001</v>
      </c>
      <c r="O43" s="15">
        <f t="shared" si="67"/>
        <v>1.00076</v>
      </c>
      <c r="P43" s="15">
        <f t="shared" si="67"/>
        <v>28.539440000000003</v>
      </c>
      <c r="Q43" s="15">
        <f t="shared" si="67"/>
        <v>0</v>
      </c>
      <c r="R43" s="15">
        <f t="shared" si="67"/>
        <v>106.234212982</v>
      </c>
      <c r="S43" s="15">
        <f t="shared" si="67"/>
        <v>212.468425964</v>
      </c>
      <c r="T43" s="15">
        <f t="shared" si="67"/>
        <v>212.549705964</v>
      </c>
      <c r="U43" s="59">
        <f t="shared" si="54"/>
        <v>60.06195</v>
      </c>
      <c r="V43" s="28">
        <f t="shared" si="55"/>
        <v>212.62990196773262</v>
      </c>
      <c r="W43" s="28">
        <f t="shared" si="55"/>
        <v>1.4139020092160721</v>
      </c>
      <c r="X43" s="28">
        <f t="shared" si="55"/>
        <v>84.92171178243528</v>
      </c>
      <c r="Y43" s="31">
        <f t="shared" si="56"/>
        <v>5196.27851040408</v>
      </c>
      <c r="Z43" s="28">
        <f t="shared" si="57"/>
        <v>0.39938743796873155</v>
      </c>
      <c r="AA43" s="32">
        <f t="shared" si="58"/>
        <v>0.006076156866394512</v>
      </c>
      <c r="AB43" s="1" t="s">
        <v>111</v>
      </c>
      <c r="AC43" s="30"/>
      <c r="AD43" s="1"/>
      <c r="AE43" s="1"/>
      <c r="AF43" s="1"/>
      <c r="AG43" s="1"/>
      <c r="AH43" s="1"/>
      <c r="AI43" s="1"/>
      <c r="AJ43" s="2"/>
      <c r="AK43" s="2"/>
      <c r="AL43" s="35"/>
      <c r="AM43" s="1"/>
      <c r="AN43" s="1"/>
      <c r="AO43" s="1"/>
      <c r="AP43" s="1"/>
      <c r="AQ43" s="35"/>
      <c r="AR43" s="1"/>
      <c r="AS43" s="1"/>
      <c r="AT43" s="1"/>
      <c r="AU43" s="35" t="s">
        <v>111</v>
      </c>
      <c r="AV43" s="35" t="s">
        <v>111</v>
      </c>
      <c r="AW43" s="1" t="s">
        <v>111</v>
      </c>
      <c r="AX43" s="30"/>
      <c r="AY43" s="1"/>
      <c r="AZ43" s="1"/>
      <c r="BA43" s="1"/>
      <c r="BC43" s="61"/>
      <c r="BD43" s="44"/>
      <c r="BN43" s="44"/>
    </row>
    <row r="44" spans="1:66" s="7" customFormat="1" ht="12">
      <c r="A44" s="14" t="str">
        <f t="shared" si="50"/>
        <v>OH3YU</v>
      </c>
      <c r="B44" s="15">
        <f aca="true" t="shared" si="68" ref="B44:H53">B14*2.54</f>
        <v>1.00076</v>
      </c>
      <c r="C44" s="15">
        <f t="shared" si="68"/>
        <v>1.6002</v>
      </c>
      <c r="D44" s="15">
        <f t="shared" si="68"/>
        <v>0.47752</v>
      </c>
      <c r="E44" s="15">
        <f t="shared" si="68"/>
        <v>0</v>
      </c>
      <c r="F44" s="15">
        <f t="shared" si="68"/>
        <v>0.09906</v>
      </c>
      <c r="G44" s="15">
        <f t="shared" si="68"/>
        <v>0.16256</v>
      </c>
      <c r="H44" s="15">
        <f t="shared" si="68"/>
        <v>0.16256</v>
      </c>
      <c r="I44" s="15">
        <f t="shared" si="52"/>
        <v>120.8761</v>
      </c>
      <c r="J44" s="15">
        <f t="shared" si="52"/>
        <v>60.18805</v>
      </c>
      <c r="K44" s="58">
        <f t="shared" si="52"/>
        <v>1</v>
      </c>
      <c r="L44" s="15">
        <f aca="true" t="shared" si="69" ref="L44:T44">L14*2.54</f>
        <v>26.53792</v>
      </c>
      <c r="M44" s="15">
        <f t="shared" si="69"/>
        <v>13.26896</v>
      </c>
      <c r="N44" s="15">
        <f t="shared" si="69"/>
        <v>13.769340000000001</v>
      </c>
      <c r="O44" s="15">
        <f t="shared" si="69"/>
        <v>1.00076</v>
      </c>
      <c r="P44" s="15">
        <f t="shared" si="69"/>
        <v>28.539440000000003</v>
      </c>
      <c r="Q44" s="15">
        <f t="shared" si="69"/>
        <v>0</v>
      </c>
      <c r="R44" s="15">
        <f t="shared" si="69"/>
        <v>106.456497018</v>
      </c>
      <c r="S44" s="15">
        <f t="shared" si="69"/>
        <v>212.912994036</v>
      </c>
      <c r="T44" s="15">
        <f t="shared" si="69"/>
        <v>212.99427403599998</v>
      </c>
      <c r="U44" s="59">
        <f t="shared" si="54"/>
        <v>60.18805</v>
      </c>
      <c r="V44" s="28">
        <f t="shared" si="55"/>
        <v>213.07480791146736</v>
      </c>
      <c r="W44" s="28">
        <f t="shared" si="55"/>
        <v>1.4139020092160721</v>
      </c>
      <c r="X44" s="28">
        <f t="shared" si="55"/>
        <v>85.10000482579741</v>
      </c>
      <c r="Y44" s="31">
        <f t="shared" si="56"/>
        <v>5207.18809159753</v>
      </c>
      <c r="Z44" s="28">
        <f t="shared" si="57"/>
        <v>0.399390268891649</v>
      </c>
      <c r="AA44" s="32">
        <f t="shared" si="58"/>
        <v>0.0060889137512584275</v>
      </c>
      <c r="AB44" s="1" t="s">
        <v>111</v>
      </c>
      <c r="AC44" s="30"/>
      <c r="AD44" s="1"/>
      <c r="AE44" s="1"/>
      <c r="AF44" s="1"/>
      <c r="AG44" s="1"/>
      <c r="AH44" s="1"/>
      <c r="AI44" s="1"/>
      <c r="AJ44" s="2"/>
      <c r="AK44" s="2"/>
      <c r="AL44" s="35"/>
      <c r="AM44" s="1"/>
      <c r="AN44" s="1"/>
      <c r="AO44" s="1"/>
      <c r="AP44" s="1"/>
      <c r="AQ44" s="35"/>
      <c r="AR44" s="1"/>
      <c r="AS44" s="1"/>
      <c r="AT44" s="1"/>
      <c r="AU44" s="35" t="s">
        <v>111</v>
      </c>
      <c r="AV44" s="35" t="s">
        <v>111</v>
      </c>
      <c r="AW44" s="1" t="s">
        <v>111</v>
      </c>
      <c r="AX44" s="30"/>
      <c r="AY44" s="1"/>
      <c r="AZ44" s="1"/>
      <c r="BA44" s="1"/>
      <c r="BC44" s="61"/>
      <c r="BD44" s="44"/>
      <c r="BN44" s="44"/>
    </row>
    <row r="45" spans="1:66" s="7" customFormat="1" ht="12">
      <c r="A45" s="14" t="str">
        <f t="shared" si="50"/>
        <v>OH3YL</v>
      </c>
      <c r="B45" s="15">
        <f t="shared" si="68"/>
        <v>1.00076</v>
      </c>
      <c r="C45" s="15">
        <f t="shared" si="68"/>
        <v>1.6002</v>
      </c>
      <c r="D45" s="15">
        <f t="shared" si="68"/>
        <v>0.47752</v>
      </c>
      <c r="E45" s="15">
        <f t="shared" si="68"/>
        <v>0</v>
      </c>
      <c r="F45" s="15">
        <f t="shared" si="68"/>
        <v>0.09906</v>
      </c>
      <c r="G45" s="15">
        <f t="shared" si="68"/>
        <v>0.16256</v>
      </c>
      <c r="H45" s="15">
        <f t="shared" si="68"/>
        <v>0.16256</v>
      </c>
      <c r="I45" s="15">
        <f t="shared" si="52"/>
        <v>120.6239</v>
      </c>
      <c r="J45" s="15">
        <f t="shared" si="52"/>
        <v>60.06195</v>
      </c>
      <c r="K45" s="58">
        <f t="shared" si="52"/>
        <v>1</v>
      </c>
      <c r="L45" s="15">
        <f aca="true" t="shared" si="70" ref="L45:T45">L15*2.54</f>
        <v>26.53792</v>
      </c>
      <c r="M45" s="15">
        <f t="shared" si="70"/>
        <v>13.26896</v>
      </c>
      <c r="N45" s="15">
        <f t="shared" si="70"/>
        <v>13.769340000000001</v>
      </c>
      <c r="O45" s="15">
        <f t="shared" si="70"/>
        <v>1.00076</v>
      </c>
      <c r="P45" s="15">
        <f t="shared" si="70"/>
        <v>28.539440000000003</v>
      </c>
      <c r="Q45" s="15">
        <f t="shared" si="70"/>
        <v>0</v>
      </c>
      <c r="R45" s="15">
        <f t="shared" si="70"/>
        <v>106.234212982</v>
      </c>
      <c r="S45" s="15">
        <f t="shared" si="70"/>
        <v>212.468425964</v>
      </c>
      <c r="T45" s="15">
        <f t="shared" si="70"/>
        <v>212.549705964</v>
      </c>
      <c r="U45" s="59">
        <f t="shared" si="54"/>
        <v>60.06195</v>
      </c>
      <c r="V45" s="28">
        <f t="shared" si="55"/>
        <v>212.62990196773262</v>
      </c>
      <c r="W45" s="28">
        <f t="shared" si="55"/>
        <v>1.4139020092160721</v>
      </c>
      <c r="X45" s="28">
        <f t="shared" si="55"/>
        <v>84.92171178243528</v>
      </c>
      <c r="Y45" s="31">
        <f t="shared" si="56"/>
        <v>5196.27851040408</v>
      </c>
      <c r="Z45" s="28">
        <f t="shared" si="57"/>
        <v>0.39938743796873155</v>
      </c>
      <c r="AA45" s="32">
        <f t="shared" si="58"/>
        <v>0.006076156866394512</v>
      </c>
      <c r="AB45" s="1" t="s">
        <v>111</v>
      </c>
      <c r="AC45" s="30"/>
      <c r="AD45" s="1"/>
      <c r="AE45" s="1"/>
      <c r="AF45" s="1"/>
      <c r="AG45" s="1"/>
      <c r="AH45" s="1"/>
      <c r="AI45" s="1"/>
      <c r="AJ45" s="2"/>
      <c r="AK45" s="2"/>
      <c r="AL45" s="35"/>
      <c r="AM45" s="1"/>
      <c r="AN45" s="1"/>
      <c r="AO45" s="1"/>
      <c r="AP45" s="1"/>
      <c r="AQ45" s="35"/>
      <c r="AR45" s="1"/>
      <c r="AS45" s="1"/>
      <c r="AT45" s="1"/>
      <c r="AU45" s="35" t="s">
        <v>111</v>
      </c>
      <c r="AV45" s="35" t="s">
        <v>111</v>
      </c>
      <c r="AW45" s="1" t="s">
        <v>111</v>
      </c>
      <c r="AX45" s="30"/>
      <c r="AY45" s="1"/>
      <c r="AZ45" s="1"/>
      <c r="BA45" s="1"/>
      <c r="BC45" s="61"/>
      <c r="BD45" s="44"/>
      <c r="BN45" s="44"/>
    </row>
    <row r="46" spans="1:66" s="7" customFormat="1" ht="12">
      <c r="A46" s="14" t="str">
        <f t="shared" si="50"/>
        <v>OH4XU</v>
      </c>
      <c r="B46" s="15">
        <f t="shared" si="68"/>
        <v>1.00076</v>
      </c>
      <c r="C46" s="15">
        <f t="shared" si="68"/>
        <v>1.6002</v>
      </c>
      <c r="D46" s="15">
        <f t="shared" si="68"/>
        <v>0.47752</v>
      </c>
      <c r="E46" s="15">
        <f t="shared" si="68"/>
        <v>0</v>
      </c>
      <c r="F46" s="15">
        <f t="shared" si="68"/>
        <v>0.09906</v>
      </c>
      <c r="G46" s="15">
        <f t="shared" si="68"/>
        <v>0.16256</v>
      </c>
      <c r="H46" s="15">
        <f t="shared" si="68"/>
        <v>0.16256</v>
      </c>
      <c r="I46" s="15">
        <f t="shared" si="52"/>
        <v>118.3761</v>
      </c>
      <c r="J46" s="15">
        <f t="shared" si="52"/>
        <v>58.93805</v>
      </c>
      <c r="K46" s="58">
        <f t="shared" si="52"/>
        <v>1</v>
      </c>
      <c r="L46" s="15">
        <f aca="true" t="shared" si="71" ref="L46:T46">L16*2.54</f>
        <v>28.86456</v>
      </c>
      <c r="M46" s="15">
        <f t="shared" si="71"/>
        <v>14.43228</v>
      </c>
      <c r="N46" s="15">
        <f t="shared" si="71"/>
        <v>14.932660000000002</v>
      </c>
      <c r="O46" s="15">
        <f t="shared" si="71"/>
        <v>1.00076</v>
      </c>
      <c r="P46" s="15">
        <f t="shared" si="71"/>
        <v>30.866080000000004</v>
      </c>
      <c r="Q46" s="15">
        <f t="shared" si="71"/>
        <v>0</v>
      </c>
      <c r="R46" s="15">
        <f t="shared" si="71"/>
        <v>104.253047018</v>
      </c>
      <c r="S46" s="15">
        <f t="shared" si="71"/>
        <v>208.506094036</v>
      </c>
      <c r="T46" s="15">
        <f t="shared" si="71"/>
        <v>208.587374036</v>
      </c>
      <c r="U46" s="59">
        <f t="shared" si="54"/>
        <v>58.93805</v>
      </c>
      <c r="V46" s="28">
        <f t="shared" si="55"/>
        <v>208.6645586674674</v>
      </c>
      <c r="W46" s="28">
        <f t="shared" si="55"/>
        <v>1.4139020092160721</v>
      </c>
      <c r="X46" s="28">
        <f t="shared" si="55"/>
        <v>83.33262731427732</v>
      </c>
      <c r="Y46" s="31">
        <f t="shared" si="56"/>
        <v>5529.843086336521</v>
      </c>
      <c r="Z46" s="28">
        <f t="shared" si="57"/>
        <v>0.3993616733308223</v>
      </c>
      <c r="AA46" s="32">
        <f t="shared" si="58"/>
        <v>0.006466203451538051</v>
      </c>
      <c r="AB46" s="1" t="s">
        <v>111</v>
      </c>
      <c r="AC46" s="30"/>
      <c r="AD46" s="1"/>
      <c r="AE46" s="1"/>
      <c r="AF46" s="1"/>
      <c r="AG46" s="1"/>
      <c r="AH46" s="1"/>
      <c r="AI46" s="1"/>
      <c r="AJ46" s="2"/>
      <c r="AK46" s="2"/>
      <c r="AL46" s="35"/>
      <c r="AM46" s="1"/>
      <c r="AN46" s="1"/>
      <c r="AO46" s="1"/>
      <c r="AP46" s="1"/>
      <c r="AQ46" s="35"/>
      <c r="AR46" s="1"/>
      <c r="AS46" s="1"/>
      <c r="AT46" s="1"/>
      <c r="AU46" s="35" t="s">
        <v>111</v>
      </c>
      <c r="AV46" s="35" t="s">
        <v>111</v>
      </c>
      <c r="AW46" s="1" t="s">
        <v>111</v>
      </c>
      <c r="AX46" s="30"/>
      <c r="AY46" s="1"/>
      <c r="AZ46" s="1"/>
      <c r="BA46" s="1"/>
      <c r="BC46" s="61"/>
      <c r="BD46" s="44"/>
      <c r="BN46" s="44"/>
    </row>
    <row r="47" spans="1:66" s="7" customFormat="1" ht="12">
      <c r="A47" s="14" t="str">
        <f t="shared" si="50"/>
        <v>OH4XL</v>
      </c>
      <c r="B47" s="15">
        <f t="shared" si="68"/>
        <v>1.00076</v>
      </c>
      <c r="C47" s="15">
        <f t="shared" si="68"/>
        <v>1.6002</v>
      </c>
      <c r="D47" s="15">
        <f t="shared" si="68"/>
        <v>0.47752</v>
      </c>
      <c r="E47" s="15">
        <f t="shared" si="68"/>
        <v>0</v>
      </c>
      <c r="F47" s="15">
        <f t="shared" si="68"/>
        <v>0.09906</v>
      </c>
      <c r="G47" s="15">
        <f t="shared" si="68"/>
        <v>0.16256</v>
      </c>
      <c r="H47" s="15">
        <f t="shared" si="68"/>
        <v>0.16256</v>
      </c>
      <c r="I47" s="15">
        <f t="shared" si="52"/>
        <v>118.6239</v>
      </c>
      <c r="J47" s="15">
        <f t="shared" si="52"/>
        <v>59.06195</v>
      </c>
      <c r="K47" s="58">
        <f t="shared" si="52"/>
        <v>1</v>
      </c>
      <c r="L47" s="15">
        <f aca="true" t="shared" si="72" ref="L47:T47">L17*2.54</f>
        <v>28.86456</v>
      </c>
      <c r="M47" s="15">
        <f t="shared" si="72"/>
        <v>14.43228</v>
      </c>
      <c r="N47" s="15">
        <f t="shared" si="72"/>
        <v>14.932660000000002</v>
      </c>
      <c r="O47" s="15">
        <f t="shared" si="72"/>
        <v>1.00076</v>
      </c>
      <c r="P47" s="15">
        <f t="shared" si="72"/>
        <v>30.866080000000004</v>
      </c>
      <c r="Q47" s="15">
        <f t="shared" si="72"/>
        <v>0</v>
      </c>
      <c r="R47" s="15">
        <f t="shared" si="72"/>
        <v>104.47145298200002</v>
      </c>
      <c r="S47" s="15">
        <f t="shared" si="72"/>
        <v>208.94290596400003</v>
      </c>
      <c r="T47" s="15">
        <f t="shared" si="72"/>
        <v>209.02418596400003</v>
      </c>
      <c r="U47" s="59">
        <f t="shared" si="54"/>
        <v>59.06195</v>
      </c>
      <c r="V47" s="28">
        <f t="shared" si="55"/>
        <v>209.10170257253267</v>
      </c>
      <c r="W47" s="28">
        <f t="shared" si="55"/>
        <v>1.4139020092160721</v>
      </c>
      <c r="X47" s="28">
        <f t="shared" si="55"/>
        <v>83.5078097732192</v>
      </c>
      <c r="Y47" s="31">
        <f t="shared" si="56"/>
        <v>5541.467962938261</v>
      </c>
      <c r="Z47" s="28">
        <f t="shared" si="57"/>
        <v>0.39936456157860417</v>
      </c>
      <c r="AA47" s="32">
        <f t="shared" si="58"/>
        <v>0.006479796751751507</v>
      </c>
      <c r="AB47" s="1" t="s">
        <v>111</v>
      </c>
      <c r="AC47" s="30"/>
      <c r="AD47" s="1"/>
      <c r="AE47" s="1"/>
      <c r="AF47" s="1"/>
      <c r="AG47" s="1"/>
      <c r="AH47" s="1"/>
      <c r="AI47" s="1"/>
      <c r="AJ47" s="2"/>
      <c r="AK47" s="2"/>
      <c r="AL47" s="35"/>
      <c r="AM47" s="1"/>
      <c r="AN47" s="1"/>
      <c r="AO47" s="1"/>
      <c r="AP47" s="1"/>
      <c r="AQ47" s="35"/>
      <c r="AR47" s="1"/>
      <c r="AS47" s="1"/>
      <c r="AT47" s="1"/>
      <c r="AU47" s="35" t="s">
        <v>111</v>
      </c>
      <c r="AV47" s="35" t="s">
        <v>111</v>
      </c>
      <c r="AW47" s="1" t="s">
        <v>111</v>
      </c>
      <c r="AX47" s="30"/>
      <c r="AY47" s="1"/>
      <c r="AZ47" s="1"/>
      <c r="BA47" s="1"/>
      <c r="BC47" s="61"/>
      <c r="BD47" s="44"/>
      <c r="BN47" s="44"/>
    </row>
    <row r="48" spans="1:66" s="7" customFormat="1" ht="12">
      <c r="A48" s="14" t="str">
        <f t="shared" si="50"/>
        <v>OH4YU</v>
      </c>
      <c r="B48" s="15">
        <f t="shared" si="68"/>
        <v>1.00076</v>
      </c>
      <c r="C48" s="15">
        <f t="shared" si="68"/>
        <v>1.6002</v>
      </c>
      <c r="D48" s="15">
        <f t="shared" si="68"/>
        <v>0.47752</v>
      </c>
      <c r="E48" s="15">
        <f t="shared" si="68"/>
        <v>0</v>
      </c>
      <c r="F48" s="15">
        <f t="shared" si="68"/>
        <v>0.09906</v>
      </c>
      <c r="G48" s="15">
        <f t="shared" si="68"/>
        <v>0.16256</v>
      </c>
      <c r="H48" s="15">
        <f t="shared" si="68"/>
        <v>0.16256</v>
      </c>
      <c r="I48" s="15">
        <f t="shared" si="52"/>
        <v>118.3761</v>
      </c>
      <c r="J48" s="15">
        <f t="shared" si="52"/>
        <v>58.93805</v>
      </c>
      <c r="K48" s="58">
        <f t="shared" si="52"/>
        <v>1</v>
      </c>
      <c r="L48" s="15">
        <f aca="true" t="shared" si="73" ref="L48:T48">L18*2.54</f>
        <v>28.86456</v>
      </c>
      <c r="M48" s="15">
        <f t="shared" si="73"/>
        <v>14.43228</v>
      </c>
      <c r="N48" s="15">
        <f t="shared" si="73"/>
        <v>14.932660000000002</v>
      </c>
      <c r="O48" s="15">
        <f t="shared" si="73"/>
        <v>1.00076</v>
      </c>
      <c r="P48" s="15">
        <f t="shared" si="73"/>
        <v>30.866080000000004</v>
      </c>
      <c r="Q48" s="15">
        <f t="shared" si="73"/>
        <v>0</v>
      </c>
      <c r="R48" s="15">
        <f t="shared" si="73"/>
        <v>104.253047018</v>
      </c>
      <c r="S48" s="15">
        <f t="shared" si="73"/>
        <v>208.506094036</v>
      </c>
      <c r="T48" s="15">
        <f t="shared" si="73"/>
        <v>208.587374036</v>
      </c>
      <c r="U48" s="59">
        <f t="shared" si="54"/>
        <v>58.93805</v>
      </c>
      <c r="V48" s="28">
        <f t="shared" si="55"/>
        <v>208.6645586674674</v>
      </c>
      <c r="W48" s="28">
        <f t="shared" si="55"/>
        <v>1.4139020092160721</v>
      </c>
      <c r="X48" s="28">
        <f t="shared" si="55"/>
        <v>83.33262731427732</v>
      </c>
      <c r="Y48" s="31">
        <f t="shared" si="56"/>
        <v>5529.843086336521</v>
      </c>
      <c r="Z48" s="28">
        <f t="shared" si="57"/>
        <v>0.3993616733308223</v>
      </c>
      <c r="AA48" s="32">
        <f t="shared" si="58"/>
        <v>0.006466203451538051</v>
      </c>
      <c r="AB48" s="32" t="s">
        <v>111</v>
      </c>
      <c r="AC48" s="30"/>
      <c r="AD48" s="1"/>
      <c r="AE48" s="1"/>
      <c r="AF48" s="1"/>
      <c r="AG48" s="1"/>
      <c r="AH48" s="1"/>
      <c r="AI48" s="1"/>
      <c r="AJ48" s="2"/>
      <c r="AK48" s="2"/>
      <c r="AL48" s="35"/>
      <c r="AM48" s="1"/>
      <c r="AN48" s="1"/>
      <c r="AO48" s="1"/>
      <c r="AP48" s="1"/>
      <c r="AQ48" s="35"/>
      <c r="AR48" s="1"/>
      <c r="AS48" s="1"/>
      <c r="AT48" s="1"/>
      <c r="AU48" s="35" t="s">
        <v>111</v>
      </c>
      <c r="AV48" s="35" t="s">
        <v>111</v>
      </c>
      <c r="AW48" s="1" t="s">
        <v>111</v>
      </c>
      <c r="AX48" s="30"/>
      <c r="AY48" s="1"/>
      <c r="AZ48" s="1"/>
      <c r="BA48" s="1"/>
      <c r="BC48" s="61"/>
      <c r="BD48" s="44"/>
      <c r="BN48" s="44"/>
    </row>
    <row r="49" spans="1:66" s="7" customFormat="1" ht="12">
      <c r="A49" s="14" t="str">
        <f t="shared" si="50"/>
        <v>OH4YL</v>
      </c>
      <c r="B49" s="15">
        <f t="shared" si="68"/>
        <v>1.00076</v>
      </c>
      <c r="C49" s="15">
        <f t="shared" si="68"/>
        <v>1.6002</v>
      </c>
      <c r="D49" s="15">
        <f t="shared" si="68"/>
        <v>0.47752</v>
      </c>
      <c r="E49" s="15">
        <f t="shared" si="68"/>
        <v>0</v>
      </c>
      <c r="F49" s="15">
        <f t="shared" si="68"/>
        <v>0.09906</v>
      </c>
      <c r="G49" s="15">
        <f t="shared" si="68"/>
        <v>0.16256</v>
      </c>
      <c r="H49" s="15">
        <f t="shared" si="68"/>
        <v>0.16256</v>
      </c>
      <c r="I49" s="15">
        <f t="shared" si="52"/>
        <v>118.6239</v>
      </c>
      <c r="J49" s="15">
        <f t="shared" si="52"/>
        <v>59.06195</v>
      </c>
      <c r="K49" s="58">
        <f t="shared" si="52"/>
        <v>1</v>
      </c>
      <c r="L49" s="15">
        <f aca="true" t="shared" si="74" ref="L49:T49">L19*2.54</f>
        <v>28.86456</v>
      </c>
      <c r="M49" s="15">
        <f t="shared" si="74"/>
        <v>14.43228</v>
      </c>
      <c r="N49" s="15">
        <f t="shared" si="74"/>
        <v>14.932660000000002</v>
      </c>
      <c r="O49" s="15">
        <f t="shared" si="74"/>
        <v>1.00076</v>
      </c>
      <c r="P49" s="15">
        <f t="shared" si="74"/>
        <v>30.866080000000004</v>
      </c>
      <c r="Q49" s="15">
        <f t="shared" si="74"/>
        <v>0</v>
      </c>
      <c r="R49" s="15">
        <f t="shared" si="74"/>
        <v>104.47145298200002</v>
      </c>
      <c r="S49" s="15">
        <f t="shared" si="74"/>
        <v>208.94290596400003</v>
      </c>
      <c r="T49" s="15">
        <f t="shared" si="74"/>
        <v>209.02418596400003</v>
      </c>
      <c r="U49" s="59">
        <f t="shared" si="54"/>
        <v>59.06195</v>
      </c>
      <c r="V49" s="28">
        <f t="shared" si="55"/>
        <v>209.10170257253267</v>
      </c>
      <c r="W49" s="28">
        <f t="shared" si="55"/>
        <v>1.4139020092160721</v>
      </c>
      <c r="X49" s="28">
        <f t="shared" si="55"/>
        <v>83.5078097732192</v>
      </c>
      <c r="Y49" s="31">
        <f t="shared" si="56"/>
        <v>5541.467962938261</v>
      </c>
      <c r="Z49" s="28">
        <f t="shared" si="57"/>
        <v>0.39936456157860417</v>
      </c>
      <c r="AA49" s="32">
        <f t="shared" si="58"/>
        <v>0.006479796751751507</v>
      </c>
      <c r="AB49" s="32" t="s">
        <v>111</v>
      </c>
      <c r="AC49" s="30"/>
      <c r="AD49" s="1"/>
      <c r="AE49" s="1"/>
      <c r="AF49" s="1"/>
      <c r="AG49" s="1"/>
      <c r="AH49" s="1"/>
      <c r="AI49" s="1"/>
      <c r="AJ49" s="2"/>
      <c r="AK49" s="2"/>
      <c r="AL49" s="35"/>
      <c r="AM49" s="1"/>
      <c r="AN49" s="1"/>
      <c r="AO49" s="1"/>
      <c r="AP49" s="1"/>
      <c r="AQ49" s="35"/>
      <c r="AR49" s="1"/>
      <c r="AS49" s="1"/>
      <c r="AT49" s="1"/>
      <c r="AU49" s="35" t="s">
        <v>111</v>
      </c>
      <c r="AV49" s="35" t="s">
        <v>111</v>
      </c>
      <c r="AW49" s="1" t="s">
        <v>111</v>
      </c>
      <c r="AX49" s="30"/>
      <c r="AY49" s="1"/>
      <c r="AZ49" s="1"/>
      <c r="BA49" s="1"/>
      <c r="BC49" s="61"/>
      <c r="BD49" s="44"/>
      <c r="BN49" s="44"/>
    </row>
    <row r="50" spans="1:66" s="7" customFormat="1" ht="10.5" customHeight="1">
      <c r="A50" s="14" t="str">
        <f t="shared" si="50"/>
        <v>∑OH (Note 3)</v>
      </c>
      <c r="B50" s="15">
        <f t="shared" si="68"/>
        <v>1.00076</v>
      </c>
      <c r="C50" s="15">
        <f t="shared" si="68"/>
        <v>1.6002</v>
      </c>
      <c r="D50" s="15">
        <f t="shared" si="68"/>
        <v>0.47752</v>
      </c>
      <c r="E50" s="15">
        <f t="shared" si="68"/>
        <v>0</v>
      </c>
      <c r="F50" s="15">
        <f t="shared" si="68"/>
        <v>0.09906</v>
      </c>
      <c r="G50" s="15">
        <f t="shared" si="68"/>
        <v>0.16256</v>
      </c>
      <c r="H50" s="15">
        <f t="shared" si="68"/>
        <v>0.16256</v>
      </c>
      <c r="I50" s="58">
        <f t="shared" si="52"/>
        <v>121</v>
      </c>
      <c r="J50" s="58">
        <f t="shared" si="52"/>
        <v>120.5</v>
      </c>
      <c r="K50" s="58">
        <f t="shared" si="52"/>
        <v>4</v>
      </c>
      <c r="L50" s="15">
        <f aca="true" t="shared" si="75" ref="L50:T50">L20*2.54</f>
        <v>21.88464</v>
      </c>
      <c r="M50" s="15">
        <f t="shared" si="75"/>
        <v>10.94232</v>
      </c>
      <c r="N50" s="15">
        <f t="shared" si="75"/>
        <v>13.18768</v>
      </c>
      <c r="O50" s="15">
        <f t="shared" si="75"/>
        <v>4.4907200000000005</v>
      </c>
      <c r="P50" s="15">
        <f t="shared" si="75"/>
        <v>30.86608</v>
      </c>
      <c r="Q50" s="15">
        <f t="shared" si="75"/>
        <v>0</v>
      </c>
      <c r="R50" s="15">
        <f t="shared" si="75"/>
        <v>106.56569999999999</v>
      </c>
      <c r="S50" s="15">
        <f t="shared" si="75"/>
        <v>213.13139999999999</v>
      </c>
      <c r="T50" s="15">
        <f t="shared" si="75"/>
        <v>213.21267999999998</v>
      </c>
      <c r="U50" s="59">
        <f t="shared" si="54"/>
        <v>482</v>
      </c>
      <c r="V50" s="28">
        <f t="shared" si="55"/>
        <v>957.113440608</v>
      </c>
      <c r="W50" s="28">
        <f t="shared" si="55"/>
        <v>1.4139020092160721</v>
      </c>
      <c r="X50" s="28">
        <f t="shared" si="55"/>
        <v>681.5007684421468</v>
      </c>
      <c r="Y50" s="31">
        <f t="shared" si="56"/>
        <v>39938.827136080894</v>
      </c>
      <c r="Z50" s="28">
        <f t="shared" si="57"/>
        <v>0.7120376117685986</v>
      </c>
      <c r="AA50" s="32">
        <f t="shared" si="58"/>
        <v>0.0467016112113225</v>
      </c>
      <c r="AB50" s="1" t="s">
        <v>111</v>
      </c>
      <c r="AC50" s="30"/>
      <c r="AD50" s="1"/>
      <c r="AE50" s="1"/>
      <c r="AF50" s="1"/>
      <c r="AG50" s="1"/>
      <c r="AH50" s="1"/>
      <c r="AI50" s="1"/>
      <c r="AJ50" s="2"/>
      <c r="AK50" s="2"/>
      <c r="AL50" s="35"/>
      <c r="AM50" s="1"/>
      <c r="AN50" s="1"/>
      <c r="AO50" s="1"/>
      <c r="AP50" s="1"/>
      <c r="AQ50" s="35"/>
      <c r="AR50" s="1"/>
      <c r="AS50" s="1"/>
      <c r="AT50" s="1"/>
      <c r="AU50" s="35" t="s">
        <v>111</v>
      </c>
      <c r="AV50" s="35" t="s">
        <v>111</v>
      </c>
      <c r="AW50" s="1" t="s">
        <v>111</v>
      </c>
      <c r="AX50" s="30"/>
      <c r="AY50" s="1"/>
      <c r="AZ50" s="1"/>
      <c r="BA50" s="1"/>
      <c r="BC50" s="61"/>
      <c r="BD50" s="44"/>
      <c r="BN50" s="44"/>
    </row>
    <row r="51" spans="1:30" ht="12">
      <c r="A51" s="14" t="str">
        <f t="shared" si="50"/>
        <v>PF1a</v>
      </c>
      <c r="B51" s="15">
        <f t="shared" si="68"/>
        <v>1.9989800000000002</v>
      </c>
      <c r="C51" s="15">
        <f t="shared" si="68"/>
        <v>1.9989800000000002</v>
      </c>
      <c r="D51" s="15">
        <f t="shared" si="68"/>
        <v>0.8999999999999999</v>
      </c>
      <c r="E51" s="15">
        <f t="shared" si="68"/>
        <v>0</v>
      </c>
      <c r="F51" s="15">
        <f t="shared" si="68"/>
        <v>0.09906</v>
      </c>
      <c r="G51" s="15">
        <f t="shared" si="68"/>
        <v>0.16256</v>
      </c>
      <c r="H51" s="15">
        <f t="shared" si="68"/>
        <v>0.16256</v>
      </c>
      <c r="I51" s="58">
        <f t="shared" si="52"/>
        <v>25</v>
      </c>
      <c r="J51" s="58">
        <f t="shared" si="52"/>
        <v>24</v>
      </c>
      <c r="K51" s="58">
        <f t="shared" si="52"/>
        <v>2</v>
      </c>
      <c r="L51" s="15">
        <f aca="true" t="shared" si="76" ref="L51:T51">L21*2.54</f>
        <v>31.90748</v>
      </c>
      <c r="M51" s="15">
        <f t="shared" si="76"/>
        <v>15.95374</v>
      </c>
      <c r="N51" s="15">
        <f t="shared" si="76"/>
        <v>18.034</v>
      </c>
      <c r="O51" s="15">
        <f t="shared" si="76"/>
        <v>4.16052</v>
      </c>
      <c r="P51" s="15">
        <f t="shared" si="76"/>
        <v>40.228519999999996</v>
      </c>
      <c r="Q51" s="15">
        <f t="shared" si="76"/>
        <v>117.88901999999999</v>
      </c>
      <c r="R51" s="15">
        <f t="shared" si="76"/>
        <v>144.82699</v>
      </c>
      <c r="S51" s="15">
        <f t="shared" si="76"/>
        <v>53.87594</v>
      </c>
      <c r="T51" s="15">
        <f t="shared" si="76"/>
        <v>54.0385</v>
      </c>
      <c r="U51" s="59">
        <f t="shared" si="54"/>
        <v>48</v>
      </c>
      <c r="V51" s="28">
        <f t="shared" si="55"/>
        <v>224.15192588879998</v>
      </c>
      <c r="W51" s="28">
        <f t="shared" si="55"/>
        <v>3.351325076676359</v>
      </c>
      <c r="X51" s="28">
        <f t="shared" si="55"/>
        <v>160.86360368046525</v>
      </c>
      <c r="Y51" s="31">
        <f t="shared" si="56"/>
        <v>5438.926263824479</v>
      </c>
      <c r="Z51" s="28">
        <f t="shared" si="57"/>
        <v>0.7176543455632338</v>
      </c>
      <c r="AA51" s="32">
        <f aca="true" t="shared" si="77" ref="AA51:AA59">rescopper*(1+coeff*(tinlet-20))*Y51/W51</f>
        <v>0.0027979108753402853</v>
      </c>
      <c r="AD51" s="1"/>
    </row>
    <row r="52" spans="1:30" ht="12">
      <c r="A52" s="14" t="str">
        <f t="shared" si="50"/>
        <v>PF1b</v>
      </c>
      <c r="B52" s="15">
        <f t="shared" si="68"/>
        <v>1.9989800000000002</v>
      </c>
      <c r="C52" s="15">
        <f t="shared" si="68"/>
        <v>1.9989800000000002</v>
      </c>
      <c r="D52" s="15">
        <f t="shared" si="68"/>
        <v>0.8999999999999999</v>
      </c>
      <c r="E52" s="15">
        <f t="shared" si="68"/>
        <v>0</v>
      </c>
      <c r="F52" s="15">
        <f t="shared" si="68"/>
        <v>0.09906</v>
      </c>
      <c r="G52" s="15">
        <f t="shared" si="68"/>
        <v>0.16256</v>
      </c>
      <c r="H52" s="15">
        <f t="shared" si="68"/>
        <v>0.16256</v>
      </c>
      <c r="I52" s="58">
        <f t="shared" si="52"/>
        <v>8</v>
      </c>
      <c r="J52" s="58">
        <f t="shared" si="52"/>
        <v>7</v>
      </c>
      <c r="K52" s="58">
        <f t="shared" si="52"/>
        <v>4</v>
      </c>
      <c r="L52" s="15">
        <f aca="true" t="shared" si="78" ref="L52:T52">L22*2.54</f>
        <v>52.4764</v>
      </c>
      <c r="M52" s="15">
        <f t="shared" si="78"/>
        <v>26.2382</v>
      </c>
      <c r="N52" s="15">
        <f t="shared" si="78"/>
        <v>30.48</v>
      </c>
      <c r="O52" s="15">
        <f t="shared" si="78"/>
        <v>8.483600000000001</v>
      </c>
      <c r="P52" s="15">
        <f t="shared" si="78"/>
        <v>69.4436</v>
      </c>
      <c r="Q52" s="15">
        <f t="shared" si="78"/>
        <v>173.3169</v>
      </c>
      <c r="R52" s="15">
        <f t="shared" si="78"/>
        <v>181.88178</v>
      </c>
      <c r="S52" s="15">
        <f t="shared" si="78"/>
        <v>17.12976</v>
      </c>
      <c r="T52" s="15">
        <f t="shared" si="78"/>
        <v>17.29232</v>
      </c>
      <c r="U52" s="59">
        <f t="shared" si="54"/>
        <v>28</v>
      </c>
      <c r="V52" s="28">
        <f t="shared" si="55"/>
        <v>145.322031936</v>
      </c>
      <c r="W52" s="28">
        <f t="shared" si="55"/>
        <v>3.351325076676359</v>
      </c>
      <c r="X52" s="28">
        <f t="shared" si="55"/>
        <v>93.83710214693805</v>
      </c>
      <c r="Y52" s="31">
        <f t="shared" si="56"/>
        <v>5362.321668559346</v>
      </c>
      <c r="Z52" s="28">
        <f t="shared" si="57"/>
        <v>0.6457183463293716</v>
      </c>
      <c r="AA52" s="32">
        <f t="shared" si="77"/>
        <v>0.002758503679912958</v>
      </c>
      <c r="AD52" s="1"/>
    </row>
    <row r="53" spans="1:30" ht="12">
      <c r="A53" s="14" t="str">
        <f t="shared" si="50"/>
        <v>PF2a</v>
      </c>
      <c r="B53" s="15">
        <f t="shared" si="68"/>
        <v>2.03708</v>
      </c>
      <c r="C53" s="15">
        <f t="shared" si="68"/>
        <v>3.23088</v>
      </c>
      <c r="D53" s="15">
        <f t="shared" si="68"/>
        <v>0.9042399999999999</v>
      </c>
      <c r="E53" s="15">
        <f t="shared" si="68"/>
        <v>0</v>
      </c>
      <c r="F53" s="15">
        <f t="shared" si="68"/>
        <v>0.3175</v>
      </c>
      <c r="G53" s="15">
        <f t="shared" si="68"/>
        <v>0.33528</v>
      </c>
      <c r="H53" s="15">
        <f t="shared" si="68"/>
        <v>0.33528</v>
      </c>
      <c r="I53" s="58">
        <f t="shared" si="52"/>
        <v>2</v>
      </c>
      <c r="J53" s="58">
        <f t="shared" si="52"/>
        <v>2</v>
      </c>
      <c r="K53" s="58">
        <f t="shared" si="52"/>
        <v>7</v>
      </c>
      <c r="L53" s="15">
        <f aca="true" t="shared" si="79" ref="L53:T53">L23*2.54</f>
        <v>143.56268</v>
      </c>
      <c r="M53" s="15">
        <f t="shared" si="79"/>
        <v>71.78134</v>
      </c>
      <c r="N53" s="15">
        <f t="shared" si="79"/>
        <v>79.91695999999999</v>
      </c>
      <c r="O53" s="15">
        <f t="shared" si="79"/>
        <v>16.271240000000002</v>
      </c>
      <c r="P53" s="15">
        <f t="shared" si="79"/>
        <v>176.10516</v>
      </c>
      <c r="Q53" s="15">
        <f t="shared" si="79"/>
        <v>189.95252</v>
      </c>
      <c r="R53" s="15">
        <f t="shared" si="79"/>
        <v>193.35103999999998</v>
      </c>
      <c r="S53" s="15">
        <f t="shared" si="79"/>
        <v>6.797039999999999</v>
      </c>
      <c r="T53" s="15">
        <f t="shared" si="79"/>
        <v>7.13232</v>
      </c>
      <c r="U53" s="59">
        <f t="shared" si="54"/>
        <v>14</v>
      </c>
      <c r="V53" s="28">
        <f t="shared" si="55"/>
        <v>110.59626912959999</v>
      </c>
      <c r="W53" s="28">
        <f t="shared" si="55"/>
        <v>5.852847414126933</v>
      </c>
      <c r="X53" s="28">
        <f t="shared" si="55"/>
        <v>81.93986379777706</v>
      </c>
      <c r="Y53" s="31">
        <f t="shared" si="56"/>
        <v>7029.862964130421</v>
      </c>
      <c r="Z53" s="28">
        <f t="shared" si="57"/>
        <v>0.7408917537874402</v>
      </c>
      <c r="AA53" s="32">
        <f t="shared" si="77"/>
        <v>0.0020706987373202697</v>
      </c>
      <c r="AD53" s="1"/>
    </row>
    <row r="54" spans="1:47" ht="12">
      <c r="A54" s="14" t="str">
        <f t="shared" si="50"/>
        <v>PF2b</v>
      </c>
      <c r="B54" s="15">
        <f aca="true" t="shared" si="80" ref="B54:H63">B24*2.54</f>
        <v>2.03708</v>
      </c>
      <c r="C54" s="15">
        <f t="shared" si="80"/>
        <v>3.23088</v>
      </c>
      <c r="D54" s="15">
        <f t="shared" si="80"/>
        <v>0.9042399999999999</v>
      </c>
      <c r="E54" s="15">
        <f t="shared" si="80"/>
        <v>0</v>
      </c>
      <c r="F54" s="15">
        <f t="shared" si="80"/>
        <v>0.3175</v>
      </c>
      <c r="G54" s="15">
        <f t="shared" si="80"/>
        <v>0.33528</v>
      </c>
      <c r="H54" s="15">
        <f t="shared" si="80"/>
        <v>0.33528</v>
      </c>
      <c r="I54" s="58">
        <f t="shared" si="52"/>
        <v>2</v>
      </c>
      <c r="J54" s="58">
        <f t="shared" si="52"/>
        <v>2</v>
      </c>
      <c r="K54" s="58">
        <f t="shared" si="52"/>
        <v>7</v>
      </c>
      <c r="L54" s="15">
        <f aca="true" t="shared" si="81" ref="L54:T54">L24*2.54</f>
        <v>143.56268</v>
      </c>
      <c r="M54" s="15">
        <f t="shared" si="81"/>
        <v>71.78134</v>
      </c>
      <c r="N54" s="15">
        <f t="shared" si="81"/>
        <v>79.91695999999999</v>
      </c>
      <c r="O54" s="15">
        <f t="shared" si="81"/>
        <v>16.271240000000002</v>
      </c>
      <c r="P54" s="15">
        <f t="shared" si="81"/>
        <v>176.10516</v>
      </c>
      <c r="Q54" s="15">
        <f t="shared" si="81"/>
        <v>181.86516</v>
      </c>
      <c r="R54" s="15">
        <f t="shared" si="81"/>
        <v>185.26368</v>
      </c>
      <c r="S54" s="15">
        <f t="shared" si="81"/>
        <v>6.797039999999999</v>
      </c>
      <c r="T54" s="15">
        <f t="shared" si="81"/>
        <v>7.13232</v>
      </c>
      <c r="U54" s="59">
        <f t="shared" si="54"/>
        <v>14</v>
      </c>
      <c r="V54" s="28">
        <f t="shared" si="55"/>
        <v>110.59626912959999</v>
      </c>
      <c r="W54" s="28">
        <f t="shared" si="55"/>
        <v>5.852847414126933</v>
      </c>
      <c r="X54" s="28">
        <f t="shared" si="55"/>
        <v>81.93986379777706</v>
      </c>
      <c r="Y54" s="31">
        <f t="shared" si="56"/>
        <v>7029.862964130421</v>
      </c>
      <c r="Z54" s="28">
        <f t="shared" si="57"/>
        <v>0.7408917537874402</v>
      </c>
      <c r="AA54" s="32">
        <f t="shared" si="77"/>
        <v>0.0020706987373202697</v>
      </c>
      <c r="AB54" s="32"/>
      <c r="AD54" s="31"/>
      <c r="AF54" s="32"/>
      <c r="AG54" s="32"/>
      <c r="AH54" s="32"/>
      <c r="AI54" s="32"/>
      <c r="AM54" s="32"/>
      <c r="AN54" s="32"/>
      <c r="AO54" s="32"/>
      <c r="AU54" s="35" t="s">
        <v>111</v>
      </c>
    </row>
    <row r="55" spans="1:41" ht="12">
      <c r="A55" s="14" t="str">
        <f t="shared" si="50"/>
        <v>PF3a (S1-2a,b)</v>
      </c>
      <c r="B55" s="15">
        <f t="shared" si="80"/>
        <v>2.03708</v>
      </c>
      <c r="C55" s="15">
        <f t="shared" si="80"/>
        <v>3.23088</v>
      </c>
      <c r="D55" s="15">
        <f t="shared" si="80"/>
        <v>0.9042399999999999</v>
      </c>
      <c r="E55" s="15">
        <f t="shared" si="80"/>
        <v>0</v>
      </c>
      <c r="F55" s="15">
        <f t="shared" si="80"/>
        <v>0.3175</v>
      </c>
      <c r="G55" s="15">
        <f t="shared" si="80"/>
        <v>0.33528</v>
      </c>
      <c r="H55" s="15">
        <f t="shared" si="80"/>
        <v>0.33528</v>
      </c>
      <c r="I55" s="58">
        <f t="shared" si="52"/>
        <v>2</v>
      </c>
      <c r="J55" s="58">
        <f t="shared" si="52"/>
        <v>2</v>
      </c>
      <c r="K55" s="58">
        <f t="shared" si="52"/>
        <v>8</v>
      </c>
      <c r="L55" s="15">
        <f aca="true" t="shared" si="82" ref="L55:T55">L25*2.54</f>
        <v>280.24836</v>
      </c>
      <c r="M55" s="15">
        <f t="shared" si="82"/>
        <v>140.12418</v>
      </c>
      <c r="N55" s="15">
        <f t="shared" si="82"/>
        <v>149.44598</v>
      </c>
      <c r="O55" s="15">
        <f t="shared" si="82"/>
        <v>18.643600000000003</v>
      </c>
      <c r="P55" s="15">
        <f t="shared" si="82"/>
        <v>317.53556</v>
      </c>
      <c r="Q55" s="15">
        <f t="shared" si="82"/>
        <v>159.95252000000002</v>
      </c>
      <c r="R55" s="15">
        <f t="shared" si="82"/>
        <v>163.35104</v>
      </c>
      <c r="S55" s="15">
        <f t="shared" si="82"/>
        <v>6.797039999999999</v>
      </c>
      <c r="T55" s="15">
        <f t="shared" si="82"/>
        <v>7.13232</v>
      </c>
      <c r="U55" s="59">
        <f t="shared" si="54"/>
        <v>15</v>
      </c>
      <c r="V55" s="28">
        <f t="shared" si="55"/>
        <v>126.721294944</v>
      </c>
      <c r="W55" s="28">
        <f t="shared" si="55"/>
        <v>5.852847414126933</v>
      </c>
      <c r="X55" s="28">
        <f t="shared" si="55"/>
        <v>87.79271121190399</v>
      </c>
      <c r="Y55" s="31">
        <f t="shared" si="56"/>
        <v>14084.951786295815</v>
      </c>
      <c r="Z55" s="28">
        <f t="shared" si="57"/>
        <v>0.6928015630735219</v>
      </c>
      <c r="AA55" s="32">
        <f t="shared" si="77"/>
        <v>0.00414882793987825</v>
      </c>
      <c r="AB55" s="32"/>
      <c r="AD55" s="31"/>
      <c r="AF55" s="32"/>
      <c r="AG55" s="32"/>
      <c r="AH55" s="32"/>
      <c r="AI55" s="32"/>
      <c r="AM55" s="32"/>
      <c r="AN55" s="32"/>
      <c r="AO55" s="32"/>
    </row>
    <row r="56" spans="1:41" ht="12">
      <c r="A56" s="14" t="str">
        <f t="shared" si="50"/>
        <v>PF3b (S1-2a,b)</v>
      </c>
      <c r="B56" s="15">
        <f t="shared" si="80"/>
        <v>2.03708</v>
      </c>
      <c r="C56" s="15">
        <f t="shared" si="80"/>
        <v>3.23088</v>
      </c>
      <c r="D56" s="15">
        <f t="shared" si="80"/>
        <v>0.9042399999999999</v>
      </c>
      <c r="E56" s="15">
        <f t="shared" si="80"/>
        <v>0</v>
      </c>
      <c r="F56" s="15">
        <f t="shared" si="80"/>
        <v>0.3175</v>
      </c>
      <c r="G56" s="15">
        <f t="shared" si="80"/>
        <v>0.33528</v>
      </c>
      <c r="H56" s="15">
        <f t="shared" si="80"/>
        <v>0.33528</v>
      </c>
      <c r="I56" s="58">
        <f t="shared" si="52"/>
        <v>2</v>
      </c>
      <c r="J56" s="58">
        <f t="shared" si="52"/>
        <v>2</v>
      </c>
      <c r="K56" s="58">
        <f t="shared" si="52"/>
        <v>8</v>
      </c>
      <c r="L56" s="15">
        <f aca="true" t="shared" si="83" ref="L56:T56">L26*2.54</f>
        <v>280.24836</v>
      </c>
      <c r="M56" s="15">
        <f t="shared" si="83"/>
        <v>140.12418</v>
      </c>
      <c r="N56" s="15">
        <f t="shared" si="83"/>
        <v>149.44598</v>
      </c>
      <c r="O56" s="15">
        <f t="shared" si="83"/>
        <v>18.643600000000003</v>
      </c>
      <c r="P56" s="15">
        <f t="shared" si="83"/>
        <v>317.53556</v>
      </c>
      <c r="Q56" s="15">
        <f t="shared" si="83"/>
        <v>151.86516</v>
      </c>
      <c r="R56" s="15">
        <f t="shared" si="83"/>
        <v>155.26368000000002</v>
      </c>
      <c r="S56" s="15">
        <f t="shared" si="83"/>
        <v>6.797039999999999</v>
      </c>
      <c r="T56" s="15">
        <f t="shared" si="83"/>
        <v>7.13232</v>
      </c>
      <c r="U56" s="59">
        <f t="shared" si="54"/>
        <v>15</v>
      </c>
      <c r="V56" s="28">
        <f t="shared" si="55"/>
        <v>126.721294944</v>
      </c>
      <c r="W56" s="28">
        <f t="shared" si="55"/>
        <v>5.852847414126933</v>
      </c>
      <c r="X56" s="28">
        <f t="shared" si="55"/>
        <v>87.79271121190399</v>
      </c>
      <c r="Y56" s="31">
        <f t="shared" si="56"/>
        <v>14084.951786295815</v>
      </c>
      <c r="Z56" s="28">
        <f t="shared" si="57"/>
        <v>0.6928015630735219</v>
      </c>
      <c r="AA56" s="32">
        <f t="shared" si="77"/>
        <v>0.00414882793987825</v>
      </c>
      <c r="AB56" s="32"/>
      <c r="AD56" s="31"/>
      <c r="AF56" s="32"/>
      <c r="AG56" s="32"/>
      <c r="AH56" s="32"/>
      <c r="AI56" s="32"/>
      <c r="AM56" s="32"/>
      <c r="AN56" s="32"/>
      <c r="AO56" s="32"/>
    </row>
    <row r="57" spans="1:41" ht="12">
      <c r="A57" s="14" t="str">
        <f t="shared" si="50"/>
        <v>PF4a (S1-3a)</v>
      </c>
      <c r="B57" s="15">
        <f t="shared" si="80"/>
        <v>2.03708</v>
      </c>
      <c r="C57" s="15">
        <f t="shared" si="80"/>
        <v>3.23088</v>
      </c>
      <c r="D57" s="15">
        <f t="shared" si="80"/>
        <v>0.9042399999999999</v>
      </c>
      <c r="E57" s="15">
        <f t="shared" si="80"/>
        <v>0</v>
      </c>
      <c r="F57" s="15">
        <f t="shared" si="80"/>
        <v>0.3175</v>
      </c>
      <c r="G57" s="15">
        <f t="shared" si="80"/>
        <v>0.33528</v>
      </c>
      <c r="H57" s="15">
        <f t="shared" si="80"/>
        <v>0.33528</v>
      </c>
      <c r="I57" s="58">
        <f t="shared" si="52"/>
        <v>2</v>
      </c>
      <c r="J57" s="58">
        <f t="shared" si="52"/>
        <v>2</v>
      </c>
      <c r="K57" s="58">
        <f t="shared" si="52"/>
        <v>3</v>
      </c>
      <c r="L57" s="15">
        <f aca="true" t="shared" si="84" ref="L57:T57">L27*2.54</f>
        <v>349.76816</v>
      </c>
      <c r="M57" s="15">
        <f t="shared" si="84"/>
        <v>174.88408</v>
      </c>
      <c r="N57" s="15">
        <f t="shared" si="84"/>
        <v>178.27498</v>
      </c>
      <c r="O57" s="15">
        <f t="shared" si="84"/>
        <v>6.7818</v>
      </c>
      <c r="P57" s="15">
        <f t="shared" si="84"/>
        <v>363.33176000000003</v>
      </c>
      <c r="Q57" s="15">
        <f t="shared" si="84"/>
        <v>69.34987999999998</v>
      </c>
      <c r="R57" s="15">
        <f t="shared" si="84"/>
        <v>72.74839999999999</v>
      </c>
      <c r="S57" s="15">
        <f t="shared" si="84"/>
        <v>6.797039999999999</v>
      </c>
      <c r="T57" s="15">
        <f t="shared" si="84"/>
        <v>7.13232</v>
      </c>
      <c r="U57" s="59">
        <f t="shared" si="54"/>
        <v>5</v>
      </c>
      <c r="V57" s="28">
        <f t="shared" si="55"/>
        <v>46.09616587199999</v>
      </c>
      <c r="W57" s="28">
        <f t="shared" si="55"/>
        <v>5.852847414126933</v>
      </c>
      <c r="X57" s="28">
        <f t="shared" si="55"/>
        <v>29.264237070634668</v>
      </c>
      <c r="Y57" s="31">
        <f t="shared" si="56"/>
        <v>5600.6736748686735</v>
      </c>
      <c r="Z57" s="28">
        <f t="shared" si="57"/>
        <v>0.6348518692833524</v>
      </c>
      <c r="AA57" s="32">
        <f t="shared" si="77"/>
        <v>0.0016497203382012154</v>
      </c>
      <c r="AB57" s="32"/>
      <c r="AD57" s="31"/>
      <c r="AF57" s="32"/>
      <c r="AG57" s="32"/>
      <c r="AH57" s="32"/>
      <c r="AI57" s="32"/>
      <c r="AM57" s="32"/>
      <c r="AN57" s="32"/>
      <c r="AO57" s="32"/>
    </row>
    <row r="58" spans="1:41" ht="12">
      <c r="A58" s="14" t="str">
        <f t="shared" si="50"/>
        <v>PF4b (S1-3b)</v>
      </c>
      <c r="B58" s="15">
        <f t="shared" si="80"/>
        <v>2.03708</v>
      </c>
      <c r="C58" s="15">
        <f t="shared" si="80"/>
        <v>3.23088</v>
      </c>
      <c r="D58" s="15">
        <f t="shared" si="80"/>
        <v>0.9042399999999999</v>
      </c>
      <c r="E58" s="15">
        <f t="shared" si="80"/>
        <v>0</v>
      </c>
      <c r="F58" s="15">
        <f t="shared" si="80"/>
        <v>0.3175</v>
      </c>
      <c r="G58" s="15">
        <f t="shared" si="80"/>
        <v>0.33528</v>
      </c>
      <c r="H58" s="15">
        <f t="shared" si="80"/>
        <v>0.33528</v>
      </c>
      <c r="I58" s="58">
        <f t="shared" si="52"/>
        <v>2</v>
      </c>
      <c r="J58" s="58">
        <f t="shared" si="52"/>
        <v>2</v>
      </c>
      <c r="K58" s="58">
        <f t="shared" si="52"/>
        <v>4</v>
      </c>
      <c r="L58" s="15">
        <f aca="true" t="shared" si="85" ref="L58:T58">L28*2.54</f>
        <v>349.76816</v>
      </c>
      <c r="M58" s="15">
        <f t="shared" si="85"/>
        <v>174.88408</v>
      </c>
      <c r="N58" s="15">
        <f t="shared" si="85"/>
        <v>179.46116000000004</v>
      </c>
      <c r="O58" s="15">
        <f t="shared" si="85"/>
        <v>9.154160000000001</v>
      </c>
      <c r="P58" s="15">
        <f t="shared" si="85"/>
        <v>368.07648</v>
      </c>
      <c r="Q58" s="15">
        <f t="shared" si="85"/>
        <v>61.262519999999995</v>
      </c>
      <c r="R58" s="15">
        <f t="shared" si="85"/>
        <v>64.66104</v>
      </c>
      <c r="S58" s="15">
        <f t="shared" si="85"/>
        <v>6.797039999999999</v>
      </c>
      <c r="T58" s="15">
        <f t="shared" si="85"/>
        <v>7.13232</v>
      </c>
      <c r="U58" s="59">
        <f t="shared" si="54"/>
        <v>8</v>
      </c>
      <c r="V58" s="28">
        <f t="shared" si="55"/>
        <v>62.2211916864</v>
      </c>
      <c r="W58" s="28">
        <f t="shared" si="55"/>
        <v>5.852847414126933</v>
      </c>
      <c r="X58" s="28">
        <f t="shared" si="55"/>
        <v>46.82277931301547</v>
      </c>
      <c r="Y58" s="31">
        <f t="shared" si="56"/>
        <v>9020.701789771241</v>
      </c>
      <c r="Z58" s="28">
        <f t="shared" si="57"/>
        <v>0.7525214166421978</v>
      </c>
      <c r="AA58" s="32">
        <f t="shared" si="77"/>
        <v>0.0026571152099452875</v>
      </c>
      <c r="AB58" s="32"/>
      <c r="AD58" s="31"/>
      <c r="AF58" s="32"/>
      <c r="AG58" s="32"/>
      <c r="AH58" s="32"/>
      <c r="AI58" s="32"/>
      <c r="AM58" s="32"/>
      <c r="AN58" s="32"/>
      <c r="AO58" s="32"/>
    </row>
    <row r="59" spans="1:41" ht="12">
      <c r="A59" s="14" t="str">
        <f t="shared" si="50"/>
        <v>PF4c (S1-3c)</v>
      </c>
      <c r="B59" s="15">
        <f t="shared" si="80"/>
        <v>2.03708</v>
      </c>
      <c r="C59" s="15">
        <f t="shared" si="80"/>
        <v>3.23088</v>
      </c>
      <c r="D59" s="15">
        <f t="shared" si="80"/>
        <v>0.9042399999999999</v>
      </c>
      <c r="E59" s="15">
        <f t="shared" si="80"/>
        <v>0</v>
      </c>
      <c r="F59" s="15">
        <f t="shared" si="80"/>
        <v>0.3175</v>
      </c>
      <c r="G59" s="15">
        <f t="shared" si="80"/>
        <v>0.33528</v>
      </c>
      <c r="H59" s="15">
        <f t="shared" si="80"/>
        <v>0.33528</v>
      </c>
      <c r="I59" s="58">
        <f t="shared" si="52"/>
        <v>2</v>
      </c>
      <c r="J59" s="58">
        <f t="shared" si="52"/>
        <v>2</v>
      </c>
      <c r="K59" s="58">
        <f t="shared" si="52"/>
        <v>5</v>
      </c>
      <c r="L59" s="15">
        <f aca="true" t="shared" si="86" ref="L59:T59">L29*2.54</f>
        <v>349.76816</v>
      </c>
      <c r="M59" s="15">
        <f t="shared" si="86"/>
        <v>174.88408</v>
      </c>
      <c r="N59" s="15">
        <f t="shared" si="86"/>
        <v>180.64734</v>
      </c>
      <c r="O59" s="15">
        <f t="shared" si="86"/>
        <v>11.526520000000001</v>
      </c>
      <c r="P59" s="15">
        <f t="shared" si="86"/>
        <v>372.82120000000003</v>
      </c>
      <c r="Q59" s="15">
        <f t="shared" si="86"/>
        <v>53.17516</v>
      </c>
      <c r="R59" s="15">
        <f t="shared" si="86"/>
        <v>56.57368</v>
      </c>
      <c r="S59" s="15">
        <f t="shared" si="86"/>
        <v>6.797039999999999</v>
      </c>
      <c r="T59" s="15">
        <f t="shared" si="86"/>
        <v>7.13232</v>
      </c>
      <c r="U59" s="59">
        <f t="shared" si="54"/>
        <v>9</v>
      </c>
      <c r="V59" s="28">
        <f t="shared" si="55"/>
        <v>78.3462175008</v>
      </c>
      <c r="W59" s="28">
        <f t="shared" si="55"/>
        <v>5.852847414126933</v>
      </c>
      <c r="X59" s="28">
        <f t="shared" si="55"/>
        <v>52.6756267271424</v>
      </c>
      <c r="Y59" s="31">
        <f t="shared" si="56"/>
        <v>10215.366412221678</v>
      </c>
      <c r="Z59" s="28">
        <f t="shared" si="57"/>
        <v>0.6723442229563225</v>
      </c>
      <c r="AA59" s="32">
        <f t="shared" si="77"/>
        <v>0.0030090126136147087</v>
      </c>
      <c r="AB59" s="32"/>
      <c r="AD59" s="31"/>
      <c r="AF59" s="32"/>
      <c r="AG59" s="32"/>
      <c r="AH59" s="32"/>
      <c r="AI59" s="32"/>
      <c r="AM59" s="32"/>
      <c r="AN59" s="32"/>
      <c r="AO59" s="32"/>
    </row>
    <row r="60" spans="8:41" ht="12">
      <c r="H60" s="1"/>
      <c r="I60" s="21"/>
      <c r="X60" s="1"/>
      <c r="Z60" s="1"/>
      <c r="AB60" s="32"/>
      <c r="AD60" s="31"/>
      <c r="AF60" s="32"/>
      <c r="AG60" s="32"/>
      <c r="AH60" s="32"/>
      <c r="AI60" s="32"/>
      <c r="AM60" s="32"/>
      <c r="AN60" s="32"/>
      <c r="AO60" s="32"/>
    </row>
    <row r="61" spans="1:26" ht="12">
      <c r="A61" s="1" t="s">
        <v>169</v>
      </c>
      <c r="E61" s="33" t="s">
        <v>111</v>
      </c>
      <c r="H61" s="1"/>
      <c r="I61" s="21" t="s">
        <v>111</v>
      </c>
      <c r="K61" s="30" t="s">
        <v>111</v>
      </c>
      <c r="L61" s="33" t="s">
        <v>111</v>
      </c>
      <c r="Q61" s="33" t="s">
        <v>111</v>
      </c>
      <c r="X61" s="1"/>
      <c r="Z61" s="1"/>
    </row>
    <row r="62" spans="1:26" ht="12">
      <c r="A62" s="1" t="s">
        <v>170</v>
      </c>
      <c r="H62" s="1"/>
      <c r="I62" s="21"/>
      <c r="X62" s="1"/>
      <c r="Z62" s="1"/>
    </row>
    <row r="63" spans="1:26" ht="12">
      <c r="A63" s="1" t="s">
        <v>171</v>
      </c>
      <c r="H63" s="1"/>
      <c r="I63" s="21"/>
      <c r="X63" s="1"/>
      <c r="Z63" s="1"/>
    </row>
    <row r="64" spans="1:36" ht="12">
      <c r="A64" s="1" t="s">
        <v>172</v>
      </c>
      <c r="G64" s="33" t="s">
        <v>111</v>
      </c>
      <c r="H64" s="1"/>
      <c r="I64" s="21"/>
      <c r="J64" s="30" t="s">
        <v>111</v>
      </c>
      <c r="X64" s="1"/>
      <c r="Z64" s="1"/>
      <c r="AJ64" s="2" t="s">
        <v>111</v>
      </c>
    </row>
    <row r="65" spans="1:26" ht="12">
      <c r="A65" s="1" t="s">
        <v>173</v>
      </c>
      <c r="H65" s="1"/>
      <c r="I65" s="21"/>
      <c r="X65" s="1"/>
      <c r="Z65" s="1"/>
    </row>
    <row r="66" spans="1:26" ht="24" customHeight="1">
      <c r="A66" s="64" t="s">
        <v>0</v>
      </c>
      <c r="H66" s="1"/>
      <c r="I66" s="21"/>
      <c r="N66" s="2" t="s">
        <v>111</v>
      </c>
      <c r="X66" s="1"/>
      <c r="Z66" s="1"/>
    </row>
    <row r="67" spans="8:26" ht="12">
      <c r="H67" s="1"/>
      <c r="I67" s="21"/>
      <c r="Q67"/>
      <c r="R67"/>
      <c r="X67" s="1"/>
      <c r="Z67" s="1"/>
    </row>
    <row r="68" spans="1:27" ht="12">
      <c r="A68" s="10" t="s">
        <v>1</v>
      </c>
      <c r="B68" s="9" t="s">
        <v>2</v>
      </c>
      <c r="C68" s="9" t="s">
        <v>3</v>
      </c>
      <c r="D68"/>
      <c r="E68" s="41"/>
      <c r="F68"/>
      <c r="G68"/>
      <c r="H68"/>
      <c r="I68" s="56"/>
      <c r="J68"/>
      <c r="K68"/>
      <c r="L68"/>
      <c r="M68"/>
      <c r="N68"/>
      <c r="O68"/>
      <c r="P68" s="57"/>
      <c r="Q68" s="57"/>
      <c r="R68"/>
      <c r="U68"/>
      <c r="AA68" s="1"/>
    </row>
    <row r="69" spans="1:30" ht="12">
      <c r="A69" s="11" t="s">
        <v>4</v>
      </c>
      <c r="B69" s="42">
        <v>1.724E-06</v>
      </c>
      <c r="C69" s="13" t="s">
        <v>5</v>
      </c>
      <c r="D69"/>
      <c r="F69"/>
      <c r="G69"/>
      <c r="H69"/>
      <c r="I69" s="56"/>
      <c r="J69"/>
      <c r="K69"/>
      <c r="L69"/>
      <c r="M69"/>
      <c r="N69"/>
      <c r="O69"/>
      <c r="P69" s="57"/>
      <c r="Q69" s="57"/>
      <c r="R69"/>
      <c r="U69"/>
      <c r="AA69" s="1"/>
      <c r="AB69" s="2"/>
      <c r="AC69" s="32"/>
      <c r="AD69" s="1"/>
    </row>
    <row r="70" spans="1:30" ht="12">
      <c r="A70" s="11" t="s">
        <v>6</v>
      </c>
      <c r="B70" s="13">
        <v>8.94</v>
      </c>
      <c r="C70" s="13" t="s">
        <v>7</v>
      </c>
      <c r="D70"/>
      <c r="F70" t="s">
        <v>111</v>
      </c>
      <c r="G70"/>
      <c r="H70"/>
      <c r="I70" s="56" t="s">
        <v>111</v>
      </c>
      <c r="J70" t="s">
        <v>111</v>
      </c>
      <c r="K70"/>
      <c r="L70"/>
      <c r="M70"/>
      <c r="N70"/>
      <c r="O70"/>
      <c r="P70" s="57"/>
      <c r="Q70" s="57"/>
      <c r="R70"/>
      <c r="U70"/>
      <c r="AA70" s="1"/>
      <c r="AB70" s="1" t="s">
        <v>111</v>
      </c>
      <c r="AC70" s="32"/>
      <c r="AD70" s="1"/>
    </row>
    <row r="71" spans="1:30" ht="12">
      <c r="A71" s="11" t="s">
        <v>8</v>
      </c>
      <c r="B71" s="13">
        <v>0.386</v>
      </c>
      <c r="C71" s="13" t="s">
        <v>9</v>
      </c>
      <c r="D71"/>
      <c r="F71"/>
      <c r="G71"/>
      <c r="H71"/>
      <c r="I71" s="56"/>
      <c r="J71"/>
      <c r="K71"/>
      <c r="L71"/>
      <c r="M71"/>
      <c r="N71"/>
      <c r="O71"/>
      <c r="P71"/>
      <c r="Q71"/>
      <c r="R71"/>
      <c r="S71"/>
      <c r="T71"/>
      <c r="U71"/>
      <c r="AA71" s="1"/>
      <c r="AC71" s="32"/>
      <c r="AD71" s="1"/>
    </row>
    <row r="72" spans="1:30" ht="12">
      <c r="A72" s="11" t="s">
        <v>10</v>
      </c>
      <c r="B72" s="13">
        <v>0.0041</v>
      </c>
      <c r="C72" s="13" t="s">
        <v>11</v>
      </c>
      <c r="D72"/>
      <c r="F72"/>
      <c r="G72"/>
      <c r="H72"/>
      <c r="I72" s="56"/>
      <c r="J72"/>
      <c r="K72"/>
      <c r="L72"/>
      <c r="M72"/>
      <c r="N72"/>
      <c r="O72"/>
      <c r="P72"/>
      <c r="Q72"/>
      <c r="R72"/>
      <c r="S72"/>
      <c r="T72"/>
      <c r="U72"/>
      <c r="AA72" s="1"/>
      <c r="AC72" s="32"/>
      <c r="AD72" s="1"/>
    </row>
    <row r="73" spans="1:30" ht="12">
      <c r="A73" s="11" t="s">
        <v>12</v>
      </c>
      <c r="B73" s="43">
        <v>20</v>
      </c>
      <c r="C73" s="13" t="s">
        <v>13</v>
      </c>
      <c r="D73"/>
      <c r="F73"/>
      <c r="G73"/>
      <c r="H73"/>
      <c r="I73" s="56"/>
      <c r="J73"/>
      <c r="K73"/>
      <c r="L73"/>
      <c r="M73"/>
      <c r="N73"/>
      <c r="O73"/>
      <c r="P73"/>
      <c r="Q73"/>
      <c r="R73"/>
      <c r="S73"/>
      <c r="T73"/>
      <c r="U73"/>
      <c r="AC73" s="32"/>
      <c r="AD73" s="1"/>
    </row>
    <row r="74" spans="1:30" ht="12">
      <c r="A74" s="11" t="s">
        <v>14</v>
      </c>
      <c r="B74" s="43">
        <v>10</v>
      </c>
      <c r="C74" s="13" t="s">
        <v>13</v>
      </c>
      <c r="D74"/>
      <c r="F74"/>
      <c r="G74"/>
      <c r="H74"/>
      <c r="I74" s="56"/>
      <c r="J74"/>
      <c r="K74"/>
      <c r="L74"/>
      <c r="M74"/>
      <c r="N74"/>
      <c r="O74"/>
      <c r="P74"/>
      <c r="Q74"/>
      <c r="R74"/>
      <c r="S74"/>
      <c r="T74"/>
      <c r="U74"/>
      <c r="AC74" s="32"/>
      <c r="AD74" s="1"/>
    </row>
    <row r="75" spans="1:27" ht="12">
      <c r="A75" s="11" t="s">
        <v>15</v>
      </c>
      <c r="B75" s="51">
        <f>62949000000000+209340000000000*tinlet-287090000000*tinlet^2</f>
        <v>4134913000000000</v>
      </c>
      <c r="C75" s="52" t="s">
        <v>93</v>
      </c>
      <c r="D75"/>
      <c r="E75" s="46"/>
      <c r="F75"/>
      <c r="G75"/>
      <c r="H75"/>
      <c r="I75" s="56"/>
      <c r="J75"/>
      <c r="K75"/>
      <c r="L75"/>
      <c r="M75"/>
      <c r="N75"/>
      <c r="O75"/>
      <c r="P75"/>
      <c r="Q75"/>
      <c r="R75"/>
      <c r="S75"/>
      <c r="T75"/>
      <c r="U75"/>
      <c r="V75" s="46"/>
      <c r="W75" s="46"/>
      <c r="X75" s="46"/>
      <c r="Y75" s="19"/>
      <c r="Z75" s="46"/>
      <c r="AA75" s="19"/>
    </row>
    <row r="76" spans="1:27" ht="12">
      <c r="A76" s="11" t="s">
        <v>16</v>
      </c>
      <c r="B76" s="51">
        <f>62949000000000+209340000000000*tinletoh-287090000000*tinletoh^2</f>
        <v>2127640000000000</v>
      </c>
      <c r="C76" s="52" t="s">
        <v>93</v>
      </c>
      <c r="D76"/>
      <c r="E76" s="46"/>
      <c r="F76"/>
      <c r="G76"/>
      <c r="H76"/>
      <c r="I76" s="56"/>
      <c r="J76"/>
      <c r="K76"/>
      <c r="L76"/>
      <c r="M76"/>
      <c r="N76"/>
      <c r="O76"/>
      <c r="P76"/>
      <c r="Q76"/>
      <c r="R76"/>
      <c r="S76"/>
      <c r="T76"/>
      <c r="U76"/>
      <c r="V76" s="46"/>
      <c r="W76" s="46"/>
      <c r="X76" s="46"/>
      <c r="Y76" s="19"/>
      <c r="Z76" s="46"/>
      <c r="AA76" s="19"/>
    </row>
    <row r="77" spans="1:53" ht="12">
      <c r="A77" s="11" t="s">
        <v>17</v>
      </c>
      <c r="B77" s="51">
        <f>-1118300+3486200*tinlet</f>
        <v>68605700</v>
      </c>
      <c r="C77" s="52" t="s">
        <v>18</v>
      </c>
      <c r="D77"/>
      <c r="E77" s="46"/>
      <c r="F77"/>
      <c r="G77"/>
      <c r="H77"/>
      <c r="I77" s="56"/>
      <c r="J77"/>
      <c r="K77"/>
      <c r="L77"/>
      <c r="M77"/>
      <c r="N77"/>
      <c r="O77"/>
      <c r="P77"/>
      <c r="Q77"/>
      <c r="R77"/>
      <c r="S77"/>
      <c r="T77"/>
      <c r="U77"/>
      <c r="V77" s="46"/>
      <c r="W77" s="46"/>
      <c r="X77" s="46"/>
      <c r="Y77" s="19"/>
      <c r="Z77" s="46"/>
      <c r="AA77" s="19"/>
      <c r="AB77" s="21"/>
      <c r="AC77" s="20"/>
      <c r="AD77" s="19"/>
      <c r="AE77" s="21"/>
      <c r="AF77" s="21"/>
      <c r="AG77" s="21"/>
      <c r="AH77" s="21"/>
      <c r="AI77" s="21"/>
      <c r="AJ77" s="48"/>
      <c r="AK77" s="48"/>
      <c r="AL77" s="23"/>
      <c r="AM77" s="21"/>
      <c r="AN77" s="21"/>
      <c r="AO77" s="21"/>
      <c r="AP77" s="21"/>
      <c r="AQ77" s="23"/>
      <c r="AR77" s="21"/>
      <c r="AS77" s="21"/>
      <c r="AT77" s="21"/>
      <c r="AU77" s="23"/>
      <c r="AV77" s="23"/>
      <c r="AW77" s="21"/>
      <c r="AX77" s="20"/>
      <c r="AY77" s="21"/>
      <c r="AZ77" s="21"/>
      <c r="BA77" s="21"/>
    </row>
    <row r="78" spans="1:53" ht="12">
      <c r="A78" s="11" t="s">
        <v>19</v>
      </c>
      <c r="B78" s="51">
        <f>-1118300+3486200*tinletoh</f>
        <v>33743700</v>
      </c>
      <c r="C78" s="52" t="s">
        <v>18</v>
      </c>
      <c r="D78"/>
      <c r="E78" s="46"/>
      <c r="F78"/>
      <c r="G78"/>
      <c r="H78"/>
      <c r="I78" s="56"/>
      <c r="J78"/>
      <c r="K78"/>
      <c r="L78"/>
      <c r="M78"/>
      <c r="N78"/>
      <c r="O78"/>
      <c r="P78"/>
      <c r="Q78"/>
      <c r="R78"/>
      <c r="S78"/>
      <c r="T78"/>
      <c r="U78"/>
      <c r="V78" s="46"/>
      <c r="W78" s="46"/>
      <c r="X78" s="46"/>
      <c r="Y78" s="19"/>
      <c r="Z78" s="46"/>
      <c r="AA78" s="19"/>
      <c r="AB78" s="21"/>
      <c r="AC78" s="20"/>
      <c r="AD78" s="19"/>
      <c r="AE78" s="21"/>
      <c r="AF78" s="21"/>
      <c r="AG78" s="21"/>
      <c r="AH78" s="21"/>
      <c r="AI78" s="21"/>
      <c r="AJ78" s="48"/>
      <c r="AK78" s="48"/>
      <c r="AL78" s="23"/>
      <c r="AM78" s="21"/>
      <c r="AN78" s="21"/>
      <c r="AO78" s="21"/>
      <c r="AP78" s="21"/>
      <c r="AQ78" s="23"/>
      <c r="AR78" s="21"/>
      <c r="AS78" s="21"/>
      <c r="AT78" s="21"/>
      <c r="AU78" s="23"/>
      <c r="AV78" s="23"/>
      <c r="AW78" s="21"/>
      <c r="AX78" s="20"/>
      <c r="AY78" s="21"/>
      <c r="AZ78" s="21"/>
      <c r="BA78" s="21"/>
    </row>
    <row r="79" spans="1:66" s="21" customFormat="1" ht="12">
      <c r="A79" s="11" t="s">
        <v>20</v>
      </c>
      <c r="B79" s="12">
        <v>600</v>
      </c>
      <c r="C79" s="11" t="s">
        <v>91</v>
      </c>
      <c r="D79"/>
      <c r="E79" s="1"/>
      <c r="F79"/>
      <c r="G79"/>
      <c r="H79"/>
      <c r="I79" s="56"/>
      <c r="J79"/>
      <c r="K79"/>
      <c r="L79"/>
      <c r="M79"/>
      <c r="N79"/>
      <c r="O79"/>
      <c r="P79"/>
      <c r="Q79"/>
      <c r="R79"/>
      <c r="S79"/>
      <c r="T79"/>
      <c r="U79"/>
      <c r="V79" s="1"/>
      <c r="W79" s="1"/>
      <c r="X79" s="1"/>
      <c r="Y79" s="32"/>
      <c r="Z79" s="1"/>
      <c r="AA79" s="1"/>
      <c r="AC79" s="20"/>
      <c r="AD79" s="19"/>
      <c r="AJ79" s="48"/>
      <c r="AK79" s="48"/>
      <c r="AL79" s="23"/>
      <c r="AQ79" s="23"/>
      <c r="AU79" s="23"/>
      <c r="AV79" s="23"/>
      <c r="AX79" s="20"/>
      <c r="BC79" s="63"/>
      <c r="BD79" s="23"/>
      <c r="BN79" s="23"/>
    </row>
    <row r="80" spans="1:66" s="21" customFormat="1" ht="12">
      <c r="A80" s="11" t="s">
        <v>21</v>
      </c>
      <c r="B80" s="12">
        <v>300</v>
      </c>
      <c r="C80" s="11" t="s">
        <v>91</v>
      </c>
      <c r="D80"/>
      <c r="E80" s="1"/>
      <c r="F80"/>
      <c r="G80"/>
      <c r="H80"/>
      <c r="I80" s="56"/>
      <c r="J80"/>
      <c r="K80"/>
      <c r="L80"/>
      <c r="M80"/>
      <c r="N80"/>
      <c r="O80"/>
      <c r="P80"/>
      <c r="Q80"/>
      <c r="R80"/>
      <c r="S80"/>
      <c r="T80"/>
      <c r="U80"/>
      <c r="V80" s="1"/>
      <c r="W80" s="1"/>
      <c r="X80" s="1"/>
      <c r="Y80" s="32"/>
      <c r="Z80" s="1"/>
      <c r="AA80" s="1"/>
      <c r="AB80" s="1"/>
      <c r="AC80" s="30"/>
      <c r="AD80" s="1"/>
      <c r="AE80" s="1"/>
      <c r="AF80" s="1"/>
      <c r="AG80" s="1"/>
      <c r="AH80" s="1"/>
      <c r="AI80" s="1"/>
      <c r="AJ80" s="2"/>
      <c r="AK80" s="2"/>
      <c r="AL80" s="35"/>
      <c r="AM80" s="1"/>
      <c r="AN80" s="1"/>
      <c r="AO80" s="1"/>
      <c r="AP80" s="1"/>
      <c r="AQ80" s="35"/>
      <c r="AR80" s="1"/>
      <c r="AS80" s="1"/>
      <c r="AT80" s="1"/>
      <c r="AU80" s="35"/>
      <c r="AV80" s="35"/>
      <c r="AW80" s="1"/>
      <c r="AX80" s="30"/>
      <c r="AY80" s="1"/>
      <c r="AZ80" s="1"/>
      <c r="BA80" s="1"/>
      <c r="BC80" s="63"/>
      <c r="BD80" s="23"/>
      <c r="BN80" s="23"/>
    </row>
    <row r="81" spans="2:30" ht="12">
      <c r="B81" s="1"/>
      <c r="C81" s="1"/>
      <c r="D81"/>
      <c r="E81" s="1"/>
      <c r="F81" s="1"/>
      <c r="G81" s="1"/>
      <c r="H81" s="1"/>
      <c r="I81" s="21"/>
      <c r="J81" s="1"/>
      <c r="K81" s="1"/>
      <c r="L81" s="1"/>
      <c r="M81" s="1"/>
      <c r="N81" s="1"/>
      <c r="O81" s="32"/>
      <c r="P81" s="1"/>
      <c r="Q81" s="1"/>
      <c r="R81" s="1"/>
      <c r="S81" s="1"/>
      <c r="T81" s="1"/>
      <c r="U81" s="1"/>
      <c r="V81" s="1"/>
      <c r="W81" s="1"/>
      <c r="X81" s="1"/>
      <c r="Z81" s="1"/>
      <c r="AA81" s="1"/>
      <c r="AD81" s="1"/>
    </row>
    <row r="82" spans="2:30" ht="12">
      <c r="B82" s="1"/>
      <c r="C82" s="1"/>
      <c r="D82" s="1"/>
      <c r="E82" s="1"/>
      <c r="F82" s="1"/>
      <c r="G82" s="1"/>
      <c r="H82" s="1"/>
      <c r="I82" s="21"/>
      <c r="J82" s="1"/>
      <c r="K82" s="1"/>
      <c r="L82" s="1"/>
      <c r="M82" s="1"/>
      <c r="N82" s="1"/>
      <c r="O82" s="32"/>
      <c r="P82" s="1"/>
      <c r="Q82" s="1"/>
      <c r="R82" s="1"/>
      <c r="S82" s="1"/>
      <c r="T82" s="1"/>
      <c r="U82" s="1"/>
      <c r="V82" s="1"/>
      <c r="W82" s="1"/>
      <c r="X82" s="1"/>
      <c r="Z82" s="1"/>
      <c r="AA82" s="1"/>
      <c r="AD82" s="1"/>
    </row>
    <row r="83" spans="2:30" ht="12">
      <c r="B83" s="1"/>
      <c r="C83" s="1"/>
      <c r="D83" s="1"/>
      <c r="E83" s="1"/>
      <c r="F83" s="1"/>
      <c r="G83" s="1"/>
      <c r="H83" s="1"/>
      <c r="I83" s="21"/>
      <c r="J83" s="1"/>
      <c r="K83" s="1"/>
      <c r="L83" s="1"/>
      <c r="M83" s="1"/>
      <c r="N83" s="1"/>
      <c r="O83" s="32"/>
      <c r="P83" s="1"/>
      <c r="Q83" s="1"/>
      <c r="R83" s="1"/>
      <c r="S83" s="1"/>
      <c r="T83" s="1"/>
      <c r="U83" s="1"/>
      <c r="V83" s="1"/>
      <c r="W83" s="1"/>
      <c r="X83" s="1"/>
      <c r="Z83" s="1"/>
      <c r="AA83" s="1"/>
      <c r="AD83" s="1"/>
    </row>
    <row r="84" spans="2:30" ht="12">
      <c r="B84" s="1"/>
      <c r="C84" s="1"/>
      <c r="D84" s="1"/>
      <c r="E84" s="1"/>
      <c r="F84" s="1"/>
      <c r="G84" s="1"/>
      <c r="H84" s="1"/>
      <c r="I84" s="21"/>
      <c r="J84" s="1"/>
      <c r="K84" s="1"/>
      <c r="L84" s="1"/>
      <c r="M84" s="1"/>
      <c r="N84" s="1"/>
      <c r="O84" s="32"/>
      <c r="P84" s="1"/>
      <c r="Q84" s="1"/>
      <c r="R84" s="1"/>
      <c r="S84" s="1"/>
      <c r="T84" s="1"/>
      <c r="U84" s="1"/>
      <c r="V84" s="1"/>
      <c r="W84" s="1"/>
      <c r="X84" s="1"/>
      <c r="Z84" s="1"/>
      <c r="AA84" s="1"/>
      <c r="AD84" s="1"/>
    </row>
    <row r="85" spans="2:30" ht="12">
      <c r="B85" s="1"/>
      <c r="C85" s="1"/>
      <c r="D85" s="1"/>
      <c r="E85" s="1"/>
      <c r="F85" s="1"/>
      <c r="G85" s="1"/>
      <c r="H85" s="1"/>
      <c r="I85" s="21"/>
      <c r="J85" s="1"/>
      <c r="K85" s="1"/>
      <c r="L85" s="1"/>
      <c r="M85" s="1"/>
      <c r="N85" s="1"/>
      <c r="O85" s="32"/>
      <c r="P85" s="1"/>
      <c r="Q85" s="1"/>
      <c r="R85" s="1"/>
      <c r="S85" s="1"/>
      <c r="T85" s="1"/>
      <c r="U85" s="1"/>
      <c r="V85" s="1"/>
      <c r="W85" s="1"/>
      <c r="X85" s="1"/>
      <c r="Z85" s="1"/>
      <c r="AA85" s="1"/>
      <c r="AD85" s="1"/>
    </row>
    <row r="86" spans="2:30" ht="12">
      <c r="B86" s="1"/>
      <c r="C86" s="1"/>
      <c r="D86" s="1"/>
      <c r="E86" s="1"/>
      <c r="F86" s="1"/>
      <c r="G86" s="1"/>
      <c r="H86" s="1"/>
      <c r="I86" s="21"/>
      <c r="J86" s="1"/>
      <c r="K86" s="1"/>
      <c r="L86" s="1"/>
      <c r="M86" s="1"/>
      <c r="N86" s="1"/>
      <c r="O86" s="32"/>
      <c r="P86" s="1"/>
      <c r="Q86" s="1"/>
      <c r="R86" s="1"/>
      <c r="S86" s="1"/>
      <c r="T86" s="1"/>
      <c r="U86" s="1"/>
      <c r="V86" s="1"/>
      <c r="W86" s="1"/>
      <c r="X86" s="1"/>
      <c r="Z86" s="1"/>
      <c r="AA86" s="1"/>
      <c r="AD86" s="1"/>
    </row>
    <row r="87" spans="2:30" ht="12">
      <c r="B87" s="1"/>
      <c r="C87" s="1"/>
      <c r="D87" s="1"/>
      <c r="E87" s="1"/>
      <c r="F87" s="1"/>
      <c r="G87" s="1"/>
      <c r="H87" s="1"/>
      <c r="I87" s="21"/>
      <c r="J87" s="1"/>
      <c r="K87" s="1"/>
      <c r="L87" s="1"/>
      <c r="M87" s="1"/>
      <c r="N87" s="1"/>
      <c r="O87" s="32"/>
      <c r="P87" s="1"/>
      <c r="Q87" s="1"/>
      <c r="R87" s="1"/>
      <c r="S87" s="1"/>
      <c r="T87" s="1"/>
      <c r="U87" s="1"/>
      <c r="V87" s="1"/>
      <c r="W87" s="1"/>
      <c r="X87" s="1"/>
      <c r="Z87" s="1"/>
      <c r="AA87" s="1"/>
      <c r="AD87" s="1"/>
    </row>
    <row r="88" spans="2:30" ht="12">
      <c r="B88" s="1"/>
      <c r="C88" s="1"/>
      <c r="D88" s="1"/>
      <c r="E88" s="1"/>
      <c r="F88" s="1"/>
      <c r="G88" s="1"/>
      <c r="H88" s="1"/>
      <c r="I88" s="21"/>
      <c r="J88" s="1"/>
      <c r="K88" s="1"/>
      <c r="L88" s="1"/>
      <c r="M88" s="1"/>
      <c r="N88" s="1"/>
      <c r="O88" s="32"/>
      <c r="P88" s="1"/>
      <c r="Q88" s="1"/>
      <c r="R88" s="1"/>
      <c r="S88" s="1"/>
      <c r="T88" s="1"/>
      <c r="U88" s="1"/>
      <c r="V88" s="1"/>
      <c r="W88" s="1"/>
      <c r="X88" s="1"/>
      <c r="Z88" s="1"/>
      <c r="AA88" s="1"/>
      <c r="AD88" s="1"/>
    </row>
    <row r="89" spans="2:30" ht="12">
      <c r="B89" s="1"/>
      <c r="C89" s="1"/>
      <c r="D89" s="1"/>
      <c r="E89" s="1"/>
      <c r="F89" s="1"/>
      <c r="G89" s="1"/>
      <c r="H89" s="1"/>
      <c r="I89" s="21"/>
      <c r="J89" s="1"/>
      <c r="K89" s="1"/>
      <c r="L89" s="1"/>
      <c r="M89" s="1"/>
      <c r="N89" s="1"/>
      <c r="O89" s="32"/>
      <c r="P89" s="1"/>
      <c r="Q89" s="1"/>
      <c r="R89" s="1"/>
      <c r="S89" s="1"/>
      <c r="T89" s="1"/>
      <c r="U89" s="1"/>
      <c r="V89" s="1"/>
      <c r="W89" s="1"/>
      <c r="X89" s="1"/>
      <c r="Z89" s="1"/>
      <c r="AA89" s="1"/>
      <c r="AD89" s="1"/>
    </row>
    <row r="90" spans="2:30" ht="12">
      <c r="B90" s="1"/>
      <c r="C90" s="1"/>
      <c r="D90" s="1"/>
      <c r="E90" s="1"/>
      <c r="F90" s="1"/>
      <c r="G90" s="1"/>
      <c r="H90" s="1"/>
      <c r="I90" s="21"/>
      <c r="J90" s="1"/>
      <c r="K90" s="1"/>
      <c r="L90" s="1"/>
      <c r="M90" s="1"/>
      <c r="N90" s="1"/>
      <c r="O90" s="32"/>
      <c r="P90" s="1"/>
      <c r="Q90" s="1"/>
      <c r="R90" s="1"/>
      <c r="S90" s="1"/>
      <c r="T90" s="1"/>
      <c r="U90" s="1"/>
      <c r="V90" s="1"/>
      <c r="W90" s="1"/>
      <c r="X90" s="1"/>
      <c r="Z90" s="1"/>
      <c r="AA90" s="1"/>
      <c r="AD90" s="1"/>
    </row>
    <row r="91" ht="12">
      <c r="AD91" s="1"/>
    </row>
  </sheetData>
  <sheetProtection password="CF37"/>
  <printOptions gridLines="1"/>
  <pageMargins left="0.75" right="0.75" top="1" bottom="1" header="0.5" footer="0.5"/>
  <pageSetup fitToHeight="2" fitToWidth="0" orientation="landscape"/>
  <headerFooter alignWithMargins="0">
    <oddHeader>&amp;C&amp;F</oddHeader>
    <oddFooter>&amp;CPage &amp;P</oddFooter>
  </headerFooter>
  <rowBreaks count="1" manualBreakCount="1">
    <brk id="3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Charles Neumeyer</cp:lastModifiedBy>
  <dcterms:created xsi:type="dcterms:W3CDTF">2009-06-11T14:58:56Z</dcterms:created>
  <cp:category/>
  <cp:version/>
  <cp:contentType/>
  <cp:contentStatus/>
</cp:coreProperties>
</file>