
<file path=[Content_Types].xml><?xml version="1.0" encoding="utf-8"?>
<Types xmlns="http://schemas.openxmlformats.org/package/2006/content-types">
  <Default ContentType="application/vnd.openxmlformats-officedocument.vmlDrawing" Extension="vml"/>
  <Default ContentType="application/vnd.openxmlformats-package.relationships+xml" Extension="rels"/>
  <Default ContentType="application/xml" Extension="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drawing+xml" PartName="/xl/drawings/worksheetdrawing3.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spreadsheetml.comments+xml" PartName="/xl/comments1.xml"/>
  <Override ContentType="application/vnd.openxmlformats-officedocument.spreadsheetml.sheet.main+xml" PartName="/xl/workbook.xml"/>
  <Override ContentType="application/vnd.openxmlformats-officedocument.spreadsheetml.worksheet+xml" PartName="/xl/worksheets/sheet3.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Form Responses 1" sheetId="1" r:id="rId3"/>
    <sheet state="hidden" name="autoCrat_MergeData_DO_NOT_DELET" sheetId="2" r:id="rId4"/>
    <sheet state="hidden" name="NVScriptsProperties" sheetId="3" r:id="rId5"/>
  </sheets>
  <definedNames/>
  <calcPr/>
</workbook>
</file>

<file path=xl/comments1.xml><?xml version="1.0" encoding="utf-8"?>
<comments xmlns="http://schemas.openxmlformats.org/spreadsheetml/2006/main">
  <authors>
    <author/>
  </authors>
  <commentList>
    <comment authorId="0" ref="B5">
      <text>
        <t xml:space="preserve">Responder updated this value.</t>
      </text>
    </comment>
    <comment authorId="0" ref="C5">
      <text>
        <t xml:space="preserve">Responder updated this value.</t>
      </text>
    </comment>
    <comment authorId="0" ref="D5">
      <text>
        <t xml:space="preserve">Responder updated this value.</t>
      </text>
    </comment>
    <comment authorId="0" ref="E5">
      <text>
        <t xml:space="preserve">Responder updated this value.</t>
      </text>
    </comment>
    <comment authorId="0" ref="F5">
      <text>
        <t xml:space="preserve">Responder updated this value.</t>
      </text>
    </comment>
    <comment authorId="0" ref="G5">
      <text>
        <t xml:space="preserve">Responder updated this value.</t>
      </text>
    </comment>
    <comment authorId="0" ref="J5">
      <text>
        <t xml:space="preserve">Responder updated this value.</t>
      </text>
    </comment>
    <comment authorId="0" ref="K5">
      <text>
        <t xml:space="preserve">Responder updated this value.</t>
      </text>
    </comment>
    <comment authorId="0" ref="M5">
      <text>
        <t xml:space="preserve">Responder updated this value.</t>
      </text>
    </comment>
    <comment authorId="0" ref="N5">
      <text>
        <t xml:space="preserve">Responder updated this value.</t>
      </text>
    </comment>
    <comment authorId="0" ref="O5">
      <text>
        <t xml:space="preserve">Responder updated this value.</t>
      </text>
    </comment>
    <comment authorId="0" ref="I9">
      <text>
        <t xml:space="preserve">Responder updated this value.</t>
      </text>
    </comment>
    <comment authorId="0" ref="N9">
      <text>
        <t xml:space="preserve">Responder updated this value.</t>
      </text>
    </comment>
    <comment authorId="0" ref="O9">
      <text>
        <t xml:space="preserve">Responder updated this value.</t>
      </text>
    </comment>
    <comment authorId="0" ref="F10">
      <text>
        <t xml:space="preserve">Responder updated this value.</t>
      </text>
    </comment>
    <comment authorId="0" ref="B22">
      <text>
        <t xml:space="preserve">Responder updated this value.</t>
      </text>
    </comment>
    <comment authorId="0" ref="J22">
      <text>
        <t xml:space="preserve">Responder updated this value.</t>
      </text>
    </comment>
    <comment authorId="0" ref="N23">
      <text>
        <t xml:space="preserve">Responder updated this value.</t>
      </text>
    </comment>
    <comment authorId="0" ref="B27">
      <text>
        <t xml:space="preserve">Responder updated this value.</t>
      </text>
    </comment>
    <comment authorId="0" ref="O27">
      <text>
        <t xml:space="preserve">Responder updated this value.</t>
      </text>
    </comment>
    <comment authorId="0" ref="I34">
      <text>
        <t xml:space="preserve">Responder updated this value.</t>
      </text>
    </comment>
    <comment authorId="0" ref="I35">
      <text>
        <t xml:space="preserve">Responder updated this value.</t>
      </text>
    </comment>
    <comment authorId="0" ref="F36">
      <text>
        <t xml:space="preserve">Responder updated this value.</t>
      </text>
    </comment>
    <comment authorId="0" ref="F38">
      <text>
        <t xml:space="preserve">Responder updated this value.</t>
      </text>
    </comment>
    <comment authorId="0" ref="K38">
      <text>
        <t xml:space="preserve">Responder updated this value.</t>
      </text>
    </comment>
    <comment authorId="0" ref="M38">
      <text>
        <t xml:space="preserve">Responder updated this value.</t>
      </text>
    </comment>
    <comment authorId="0" ref="F43">
      <text>
        <t xml:space="preserve">Responder updated this value.</t>
      </text>
    </comment>
    <comment authorId="0" ref="F46">
      <text>
        <t xml:space="preserve">Responder updated this value.</t>
      </text>
    </comment>
    <comment authorId="0" ref="F47">
      <text>
        <t xml:space="preserve">Responder updated this value.</t>
      </text>
    </comment>
    <comment authorId="0" ref="J47">
      <text>
        <t xml:space="preserve">Responder updated this value.</t>
      </text>
    </comment>
    <comment authorId="0" ref="N47">
      <text>
        <t xml:space="preserve">Responder updated this value.</t>
      </text>
    </comment>
    <comment authorId="0" ref="I54">
      <text>
        <t xml:space="preserve">Responder updated this value.</t>
      </text>
    </comment>
    <comment authorId="0" ref="F61">
      <text>
        <t xml:space="preserve">Responder updated this value.</t>
      </text>
    </comment>
    <comment authorId="0" ref="C62">
      <text>
        <t xml:space="preserve">Responder updated this value.</t>
      </text>
    </comment>
    <comment authorId="0" ref="D62">
      <text>
        <t xml:space="preserve">Responder updated this value.</t>
      </text>
    </comment>
    <comment authorId="0" ref="E62">
      <text>
        <t xml:space="preserve">Responder updated this value.</t>
      </text>
    </comment>
    <comment authorId="0" ref="F62">
      <text>
        <t xml:space="preserve">Responder updated this value.</t>
      </text>
    </comment>
    <comment authorId="0" ref="F65">
      <text>
        <t xml:space="preserve">Responder updated this value.</t>
      </text>
    </comment>
    <comment authorId="0" ref="F66">
      <text>
        <t xml:space="preserve">Responder updated this value.</t>
      </text>
    </comment>
    <comment authorId="0" ref="F67">
      <text>
        <t xml:space="preserve">Responder updated this value.</t>
      </text>
    </comment>
    <comment authorId="0" ref="F68">
      <text>
        <t xml:space="preserve">Responder updated this value.</t>
      </text>
    </comment>
    <comment authorId="0" ref="N68">
      <text>
        <t xml:space="preserve">Responder updated this value.</t>
      </text>
    </comment>
    <comment authorId="0" ref="B70">
      <text>
        <t xml:space="preserve">Responder updated this value.</t>
      </text>
    </comment>
    <comment authorId="0" ref="E86">
      <text>
        <t xml:space="preserve">Responder updated this value.</t>
      </text>
    </comment>
    <comment authorId="0" ref="I87">
      <text>
        <t xml:space="preserve">Responder updated this value.</t>
      </text>
    </comment>
    <comment authorId="0" ref="F97">
      <text>
        <t xml:space="preserve">Responder updated this value.</t>
      </text>
    </comment>
    <comment authorId="0" ref="O97">
      <text>
        <t xml:space="preserve">Responder updated this value.</t>
      </text>
    </comment>
    <comment authorId="0" ref="F98">
      <text>
        <t xml:space="preserve">Responder updated this value.</t>
      </text>
    </comment>
    <comment authorId="0" ref="O98">
      <text>
        <t xml:space="preserve">Responder updated this value.</t>
      </text>
    </comment>
    <comment authorId="0" ref="F107">
      <text>
        <t xml:space="preserve">Responder updated this value.</t>
      </text>
    </comment>
    <comment authorId="0" ref="N107">
      <text>
        <t xml:space="preserve">Responder updated this value.</t>
      </text>
    </comment>
    <comment authorId="0" ref="B108">
      <text>
        <t xml:space="preserve">Responder updated this value.</t>
      </text>
    </comment>
    <comment authorId="0" ref="J108">
      <text>
        <t xml:space="preserve">Responder updated this value.</t>
      </text>
    </comment>
    <comment authorId="0" ref="N108">
      <text>
        <t xml:space="preserve">Responder updated this value.</t>
      </text>
    </comment>
    <comment authorId="0" ref="F110">
      <text>
        <t xml:space="preserve">Responder updated this value.</t>
      </text>
    </comment>
    <comment authorId="0" ref="F111">
      <text>
        <t xml:space="preserve">Responder updated this value.</t>
      </text>
    </comment>
    <comment authorId="0" ref="C118">
      <text>
        <t xml:space="preserve">Responder updated this value.</t>
      </text>
    </comment>
    <comment authorId="0" ref="N122">
      <text>
        <t xml:space="preserve">Responder updated this value.</t>
      </text>
    </comment>
    <comment authorId="0" ref="I129">
      <text>
        <t xml:space="preserve">Responder updated this value.</t>
      </text>
    </comment>
    <comment authorId="0" ref="I132">
      <text>
        <t xml:space="preserve">Responder updated this value.</t>
      </text>
    </comment>
    <comment authorId="0" ref="B133">
      <text>
        <t xml:space="preserve">Responder updated this value.</t>
      </text>
    </comment>
    <comment authorId="0" ref="N133">
      <text>
        <t xml:space="preserve">Responder updated this value.</t>
      </text>
    </comment>
    <comment authorId="0" ref="F139">
      <text>
        <t xml:space="preserve">Responder updated this value.</t>
      </text>
    </comment>
    <comment authorId="0" ref="J139">
      <text>
        <t xml:space="preserve">Responder updated this value.</t>
      </text>
    </comment>
    <comment authorId="0" ref="N139">
      <text>
        <t xml:space="preserve">Responder updated this value.</t>
      </text>
    </comment>
    <comment authorId="0" ref="O139">
      <text>
        <t xml:space="preserve">Responder updated this value.</t>
      </text>
    </comment>
    <comment authorId="0" ref="B162">
      <text>
        <t xml:space="preserve">Responder updated this value.</t>
      </text>
    </comment>
    <comment authorId="0" ref="N162">
      <text>
        <t xml:space="preserve">Responder updated this value.</t>
      </text>
    </comment>
    <comment authorId="0" ref="O177">
      <text>
        <t xml:space="preserve">Responder updated this value.</t>
      </text>
    </comment>
    <comment authorId="0" ref="K187">
      <text>
        <t xml:space="preserve">Responder updated this value.</t>
      </text>
    </comment>
    <comment authorId="0" ref="E188">
      <text>
        <t xml:space="preserve">Responder updated this value.</t>
      </text>
    </comment>
    <comment authorId="0" ref="N188">
      <text>
        <t xml:space="preserve">Responder updated this value.</t>
      </text>
    </comment>
    <comment authorId="0" ref="C189">
      <text>
        <t xml:space="preserve">Responder updated this value.</t>
      </text>
    </comment>
    <comment authorId="0" ref="D189">
      <text>
        <t xml:space="preserve">Responder updated this value.</t>
      </text>
    </comment>
    <comment authorId="0" ref="F191">
      <text>
        <t xml:space="preserve">Responder updated this value.</t>
      </text>
    </comment>
    <comment authorId="0" ref="F195">
      <text>
        <t xml:space="preserve">Responder updated this value.</t>
      </text>
    </comment>
    <comment authorId="0" ref="L198">
      <text>
        <t xml:space="preserve">Responder updated this value.</t>
      </text>
    </comment>
    <comment authorId="0" ref="N198">
      <text>
        <t xml:space="preserve">Responder updated this value.</t>
      </text>
    </comment>
    <comment authorId="0" ref="B199">
      <text>
        <t xml:space="preserve">Responder updated this value.</t>
      </text>
    </comment>
    <comment authorId="0" ref="C199">
      <text>
        <t xml:space="preserve">Responder updated this value.</t>
      </text>
    </comment>
    <comment authorId="0" ref="D199">
      <text>
        <t xml:space="preserve">Responder updated this value.</t>
      </text>
    </comment>
    <comment authorId="0" ref="E199">
      <text>
        <t xml:space="preserve">Responder updated this value.</t>
      </text>
    </comment>
    <comment authorId="0" ref="F199">
      <text>
        <t xml:space="preserve">Responder updated this value.</t>
      </text>
    </comment>
    <comment authorId="0" ref="I199">
      <text>
        <t xml:space="preserve">Responder updated this value.</t>
      </text>
    </comment>
    <comment authorId="0" ref="J199">
      <text>
        <t xml:space="preserve">Responder updated this value.</t>
      </text>
    </comment>
    <comment authorId="0" ref="N199">
      <text>
        <t xml:space="preserve">Responder updated this value.</t>
      </text>
    </comment>
    <comment authorId="0" ref="O199">
      <text>
        <t xml:space="preserve">Responder updated this value.</t>
      </text>
    </comment>
    <comment authorId="0" ref="O201">
      <text>
        <t xml:space="preserve">Responder updated this value.</t>
      </text>
    </comment>
    <comment authorId="0" ref="H202">
      <text>
        <t xml:space="preserve">Responder updated this value.</t>
      </text>
    </comment>
    <comment authorId="0" ref="B203">
      <text>
        <t xml:space="preserve">Responder updated this value.</t>
      </text>
    </comment>
    <comment authorId="0" ref="C203">
      <text>
        <t xml:space="preserve">Responder updated this value.</t>
      </text>
    </comment>
    <comment authorId="0" ref="D203">
      <text>
        <t xml:space="preserve">Responder updated this value.</t>
      </text>
    </comment>
    <comment authorId="0" ref="E203">
      <text>
        <t xml:space="preserve">Responder updated this value.</t>
      </text>
    </comment>
    <comment authorId="0" ref="F203">
      <text>
        <t xml:space="preserve">Responder updated this value.</t>
      </text>
    </comment>
    <comment authorId="0" ref="G203">
      <text>
        <t xml:space="preserve">Responder updated this value.</t>
      </text>
    </comment>
    <comment authorId="0" ref="H203">
      <text>
        <t xml:space="preserve">Responder updated this value.</t>
      </text>
    </comment>
    <comment authorId="0" ref="I203">
      <text>
        <t xml:space="preserve">Responder updated this value.</t>
      </text>
    </comment>
    <comment authorId="0" ref="K203">
      <text>
        <t xml:space="preserve">Responder updated this value.</t>
      </text>
    </comment>
    <comment authorId="0" ref="L203">
      <text>
        <t xml:space="preserve">Responder updated this value.</t>
      </text>
    </comment>
    <comment authorId="0" ref="M203">
      <text>
        <t xml:space="preserve">Responder updated this value.</t>
      </text>
    </comment>
    <comment authorId="0" ref="N203">
      <text>
        <t xml:space="preserve">Responder updated this value.</t>
      </text>
    </comment>
    <comment authorId="0" ref="O203">
      <text>
        <t xml:space="preserve">Responder updated this value.</t>
      </text>
    </comment>
    <comment authorId="0" ref="H204">
      <text>
        <t xml:space="preserve">Responder updated this value.</t>
      </text>
    </comment>
    <comment authorId="0" ref="H205">
      <text>
        <t xml:space="preserve">Responder updated this value.</t>
      </text>
    </comment>
    <comment authorId="0" ref="N205">
      <text>
        <t xml:space="preserve">Responder updated this value.</t>
      </text>
    </comment>
    <comment authorId="0" ref="H206">
      <text>
        <t xml:space="preserve">Responder updated this value.</t>
      </text>
    </comment>
    <comment authorId="0" ref="H207">
      <text>
        <t xml:space="preserve">Responder updated this value.</t>
      </text>
    </comment>
    <comment authorId="0" ref="H208">
      <text>
        <t xml:space="preserve">Responder updated this value.</t>
      </text>
    </comment>
    <comment authorId="0" ref="H209">
      <text>
        <t xml:space="preserve">Responder updated this value.</t>
      </text>
    </comment>
    <comment authorId="0" ref="B210">
      <text>
        <t xml:space="preserve">Responder updated this value.</t>
      </text>
    </comment>
    <comment authorId="0" ref="H210">
      <text>
        <t xml:space="preserve">Responder updated this value.</t>
      </text>
    </comment>
    <comment authorId="0" ref="N210">
      <text>
        <t xml:space="preserve">Responder updated this value.</t>
      </text>
    </comment>
    <comment authorId="0" ref="H211">
      <text>
        <t xml:space="preserve">Responder updated this value.</t>
      </text>
    </comment>
    <comment authorId="0" ref="I211">
      <text>
        <t xml:space="preserve">Responder updated this value.</t>
      </text>
    </comment>
    <comment authorId="0" ref="H212">
      <text>
        <t xml:space="preserve">Responder updated this value.</t>
      </text>
    </comment>
    <comment authorId="0" ref="H213">
      <text>
        <t xml:space="preserve">Responder updated this value.</t>
      </text>
    </comment>
    <comment authorId="0" ref="H214">
      <text>
        <t xml:space="preserve">Responder updated this value.</t>
      </text>
    </comment>
    <comment authorId="0" ref="H215">
      <text>
        <t xml:space="preserve">Responder updated this value.</t>
      </text>
    </comment>
    <comment authorId="0" ref="H217">
      <text>
        <t xml:space="preserve">Responder updated this value.</t>
      </text>
    </comment>
    <comment authorId="0" ref="N218">
      <text>
        <t xml:space="preserve">Responder updated this value.</t>
      </text>
    </comment>
    <comment authorId="0" ref="O218">
      <text>
        <t xml:space="preserve">Responder updated this value.</t>
      </text>
    </comment>
    <comment authorId="0" ref="H219">
      <text>
        <t xml:space="preserve">Responder updated this value.</t>
      </text>
    </comment>
    <comment authorId="0" ref="H220">
      <text>
        <t xml:space="preserve">Responder updated this value.</t>
      </text>
    </comment>
    <comment authorId="0" ref="H221">
      <text>
        <t xml:space="preserve">Responder updated this value.</t>
      </text>
    </comment>
    <comment authorId="0" ref="N221">
      <text>
        <t xml:space="preserve">Responder updated this value.</t>
      </text>
    </comment>
    <comment authorId="0" ref="F225">
      <text>
        <t xml:space="preserve">Responder updated this value.</t>
      </text>
    </comment>
    <comment authorId="0" ref="F229">
      <text>
        <t xml:space="preserve">Responder updated this value.</t>
      </text>
    </comment>
  </commentList>
</comments>
</file>

<file path=xl/sharedStrings.xml><?xml version="1.0" encoding="utf-8"?>
<sst xmlns="http://schemas.openxmlformats.org/spreadsheetml/2006/main" count="4156" uniqueCount="2771">
  <si>
    <t>Timestamp</t>
  </si>
  <si>
    <t>Title of proposal</t>
  </si>
  <si>
    <t>Proposer first name</t>
  </si>
  <si>
    <t>Proposer last name</t>
  </si>
  <si>
    <t>Proposer e-mail address</t>
  </si>
  <si>
    <t>Co-authors on your proposal</t>
  </si>
  <si>
    <t>Proposer home country</t>
  </si>
  <si>
    <t>Proposer home institution</t>
  </si>
  <si>
    <t>NSTX-U group assessing proposal</t>
  </si>
  <si>
    <t>Contributions to milestones or ITPA</t>
  </si>
  <si>
    <t>Machine time requested (run days)</t>
  </si>
  <si>
    <t>Pre-lithium-wall-conditioning machine time requested (run days)</t>
  </si>
  <si>
    <t>Minimum useful machine time (run days)</t>
  </si>
  <si>
    <t>Goal, importance, and plan of proposal (2000 character Limit)</t>
  </si>
  <si>
    <t>Special requirements (500 character limit)</t>
  </si>
  <si>
    <t>Merged Doc ID - Forum idea summary</t>
  </si>
  <si>
    <t>Merged Doc URL - Forum idea summary</t>
  </si>
  <si>
    <t>Link to merged Doc - Forum idea summary</t>
  </si>
  <si>
    <t>Document Merge Status - Forum idea summary</t>
  </si>
  <si>
    <t>Merged Doc ID - Forum idea summary update</t>
  </si>
  <si>
    <t>Merged Doc URL - Forum idea summary update</t>
  </si>
  <si>
    <t>Link to merged Doc - Forum idea summary update</t>
  </si>
  <si>
    <t>Document Merge Status - Forum idea summary update</t>
  </si>
  <si>
    <t>NSTX-U breakdown scenario development</t>
  </si>
  <si>
    <t>Devon</t>
  </si>
  <si>
    <t>Battaglia</t>
  </si>
  <si>
    <t>dbattagl@pppl.gov</t>
  </si>
  <si>
    <t>Dennis Mueller</t>
  </si>
  <si>
    <t>United States</t>
  </si>
  <si>
    <t>Princeton Plasma Physics Laboratory</t>
  </si>
  <si>
    <t>Cross-Cutting and Enabling (CC)</t>
  </si>
  <si>
    <t>None</t>
  </si>
  <si>
    <t>The goal is to develop 2 or 3 breakdown scenarios at different OH precharge levels.  This involves optimizing the PF3/5 and OH ramps, pre-fill level, GDC length and ECH pre-ionization to achieve reliable timing of breakdown, suitable Ip ramp and plasma growth until 20ms and acceptable OH/TF coil temperature differentials (ie OH preheating) while minimizing flux consumption, I2t heating and impurity generation.  These activities will also provide an opportunity to examine the shot cycle limitations and the impact of a long bake and boronization on plasma breakdown by comparing to CD4.  The results, combined with modeling and NSTX experience, should provide the "recipe" for breakdown at any OH pre-charge level. At a bare minimum, we need to achieve one working breakdown scenario.  Work on the PCS gap and Ip control will be happening in parallel once we get a suitable target at 20ms.</t>
  </si>
  <si>
    <t>XMP follows gas and magnetics calibrations in commissioning phase.  Require plasma TV, magnetics, neutron diagnostics, filterscopes. Steve promised me EFIT, so I better have EFIT. RGA, bolometers, SXR, VB would be nice.</t>
  </si>
  <si>
    <t>0B5-iztf28QNJdDBUaGNvcF9Lb1k</t>
  </si>
  <si>
    <t>https://docs.google.com/open?id=0B5-iztf28QNJdDBUaGNvcF9Lb1k</t>
  </si>
  <si>
    <t>Doc Created @ Tue Feb 10 2015 17:31:28 GMT-0500 (EST); Doc Merged @ Tue Feb 10 2015 17:31:28 GMT-0500 (EST); Email Sent @ Tue Feb 10 2015 17:31:33 GMT-0500 (EST)(dbattagl@pppl.gov,nstx-u@pppl.gov)</t>
  </si>
  <si>
    <t>0B5-iztf28QNJVjZpQ1NxUjVoQkE</t>
  </si>
  <si>
    <t>https://docs.google.com/open?id=0B5-iztf28QNJVjZpQ1NxUjVoQkE</t>
  </si>
  <si>
    <t>1JBXtHfmUOudmx7j9fFrGrLZgVb2YEuA5IryPK_VFfec</t>
  </si>
  <si>
    <t>Doc Created @ Wed Feb 25 2015 05:22:52 GMT-0500 (EST); Doc Merged @ Wed Feb 25 2015 05:22:52 GMT-0500 (EST)</t>
  </si>
  <si>
    <t>NSTX-U Automatic Shutdown</t>
  </si>
  <si>
    <t>Stefan</t>
  </si>
  <si>
    <t>Gerhardt</t>
  </si>
  <si>
    <t>sgerhard@pppl.gov</t>
  </si>
  <si>
    <t>devon battaglia, dennis mueller, keith erickson, dan boyer</t>
  </si>
  <si>
    <t>{"fileName":"$nstxuGroupAssessingProposal - $proposerLastName - $titleOfProposal","name":"Forum idea summary","templateId":"1JBXtHfmUOudmx7j9fFrGrLZgVb2YEuA5IryPK_VFfec","sendEmail":"true","email":{"address":"$proposerEmailAddress, nstx-u@pppl.gov","subject":"Summary of NSTX-U Research Forum 2015 submission is attached","body":"Thank you for your idea submission - a PDF summary is attached.","attach":"PDF","savePdf":"true","isShareable":"true"},"conditions":{"header":"timestamp","opp":"=","test":""},"tags":[{"tag":"timestamp","mapHeader":"timestamp","multiTags":[],"isMultiTag":false,"isHyperlink":false,"isNewTag":false},{"tag":"title","mapHeader":"titleOfProposal","multiTags":[],"isMultiTag":false,"isHyperlink":false,"isNewTag":false},{"tag":"firstname","mapHeader":"proposerFirstName","multiTags":[],"isMultiTag":false,"isHyperlink":false,"isNewTag":false},{"tag":"lastname","mapHeader":"proposerLastName","multiTags":[],"isMultiTag":false,"isHyperlink":false,"isNewTag":false},{"tag":"email","mapHeader":"proposerEmailAddress","multiTags":[],"isMultiTag":false,"isHyperlink":false,"isNewTag":false},{"tag":"coauthors","mapHeader":"coauthorsOnYourProposal","multiTags":[],"isMultiTag":false,"isHyperlink":false,"isNewTag":false},{"tag":"country","mapHeader":"proposerHomeCountry","multiTags":[],"isMultiTag":false,"isHyperlink":false,"isNewTag":false},{"tag":"institution","mapHeader":"proposerHomeInstitution","multiTags":[],"isMultiTag":false,"isHyperlink":false,"isNewTag":false},{"tag":"group","mapHeader":"nstxuGroupAssessingProposal","multiTags":[],"isMultiTag":false,"isHyperlink":false,"isNewTag":false},{"tag":"milestones","mapHeader":"contributionsToMilestonesOrItpa","multiTags":[],"isMultiTag":false,"isHyperlink":false,"isNewTag":false},{"tag":"runtime","mapHeader":"machineTimeRequestedRunDays","multiTags":[],"isMultiTag":false,"isHyperlink":false,"isNewTag":false},{"tag":"prelithiumruntime","mapHeader":"prelithiumwallconditioningMachineTimeRequestedRunDays","multiTags":[],"isMultiTag":false,"isHyperlink":false,"isNewTag":false},{"tag":"minruntime","mapHeader":"minimumUsefulMachineTimeRunDays","multiTags":[],"isMultiTag":false,"isHyperlink":false,"isNewTag":false},{"tag":"goal","mapHeader":"goalImportanceAndPlanOfProposal2000CharacterLimit","multiTags":[],"isMultiTag":false,"isHyperlink":false,"isNewTag":false},{"tag":"specialrequirements","mapHeader":"specialRequirements500CharacterLimit","multiTags":[],"isMultiTag":false,"isHyperlink":false,"isNewTag":false}],"folders":["0B5-iztf28QNJTHlqSFNTSkhnLUE"],"dataSheetId":"2.46379659E8","secondaryFolder":"","bigestJump":0,"fileType":"PDF","formTrigger":"on","timeTrigger":"off","timeTriggerFrequency":"","timeTriggerHour":"","showInSidebar":true}</t>
  </si>
  <si>
    <t>none</t>
  </si>
  <si>
    <t>1B6Go9RLHtJTAjp3Y9ESCwNmXboPy8rMZqfL57r4qldU</t>
  </si>
  <si>
    <t>DCPS is intolerant of up-down asymmetries in the plasma. These often occur during disruptions. Hence, we need some simple reliable thing to shut down the plasma upon detecting that a disruption is imminent.</t>
  </si>
  <si>
    <t>Need the PCS code written and debugged offline (or in the background). Spec has been written, but it is still be iterated with software engineering.
Note that parts of this may be phased in over multiple days.</t>
  </si>
  <si>
    <t>0B5-iztf28QNJdXRMUGJJaDVVQjQ</t>
  </si>
  <si>
    <t>https://docs.google.com/open?id=0B5-iztf28QNJdXRMUGJJaDVVQjQ</t>
  </si>
  <si>
    <t>{"fileName":"$nstxuGroupAssessingProposal - $proposerLastName - $titleOfProposal","name":"Forum idea summary update","templateId":"1B6Go9RLHtJTAjp3Y9ESCwNmXboPy8rMZqfL57r4qldU","sendEmail":"false","email":{"body":"","subject":"","address":""},"conditions":{"header":"timestamp","opp":"=","test":""},"tags":[{"tag":"timestamp","mapHeader":"timestamp","multiTags":[],"isMultiTag":false,"isHyperlink":false,"isNewTag":false},{"tag":"title","mapHeader":"titleOfProposal","multiTags":[],"isMultiTag":false,"isHyperlink":false,"isNewTag":false},{"tag":"firstname","mapHeader":"proposerFirstName","multiTags":[],"isMultiTag":false,"isHyperlink":false,"isNewTag":false},{"tag":"lastname","mapHeader":"proposerLastName","multiTags":[],"isMultiTag":false,"isHyperlink":false,"isNewTag":false},{"tag":"email","mapHeader":"proposerEmailAddress","multiTags":[],"isMultiTag":false,"isHyperlink":false,"isNewTag":false},{"tag":"coauthors","mapHeader":"coauthorsOnYourProposal","multiTags":[],"isMultiTag":false,"isHyperlink":false,"isNewTag":false},{"tag":"country","mapHeader":"proposerHomeCountry","multiTags":[],"isMultiTag":false,"isHyperlink":false,"isNewTag":false},{"tag":"institution","mapHeader":"proposerHomeInstitution","multiTags":[],"isMultiTag":false,"isHyperlink":false,"isNewTag":false},{"tag":"group","mapHeader":"nstxuGroupAssessingProposal","multiTags":[],"isMultiTag":false,"isHyperlink":false,"isNewTag":false},{"tag":"milestones","mapHeader":"contributionsToMilestonesOrItpa","multiTags":[],"isMultiTag":false,"isHyperlink":false,"isNewTag":false},{"tag":"runtime","mapHeader":"machineTimeRequestedRunDays","multiTags":[],"isMultiTag":false,"isHyperlink":false,"isNewTag":false},{"tag":"prelithiumruntime","mapHeader":"prelithiumwallconditioningMachineTimeRequestedRunDays","multiTags":[],"isMultiTag":false,"isHyperlink":false,"isNewTag":false},{"tag":"minruntime","mapHeader":"minimumUsefulMachineTimeRunDays","multiTags":[],"isMultiTag":false,"isHyperlink":false,"isNewTag":false},{"tag":"goal","mapHeader":"goalImportanceAndPlanOfProposal2000CharacterLimit","multiTags":[],"isMultiTag":false,"isHyperlink":false,"isNewTag":false},{"tag":"specialrequirements","mapHeader":"specialRequirements500CharacterLimit","multiTags":[],"isMultiTag":false,"isHyperlink":false,"isNewTag":false}],"folders":["0B5-iztf28QNJTHlqSFNTSkhnLUE"],"dataSheetId":"2.46379659E8","secondaryFolder":"","bigestJump":0,"fileType":"PDF","formTrigger":"off","timeTrigger":"off","timeTriggerFrequency":"","timeTriggerHour":"","showInSidebar":true}</t>
  </si>
  <si>
    <t>Doc Created @ Tue Feb 10 2015 17:31:37 GMT-0500 (EST); Doc Merged @ Tue Feb 10 2015 17:31:37 GMT-0500 (EST); Email Sent @ Tue Feb 10 2015 17:31:43 GMT-0500 (EST)(sgerhard@pppl.gov,nstx-u@pppl.gov)</t>
  </si>
  <si>
    <t>0B5-iztf28QNJTUh3dlhXT3dIaXc</t>
  </si>
  <si>
    <t>https://docs.google.com/open?id=0B5-iztf28QNJTUh3dlhXT3dIaXc</t>
  </si>
  <si>
    <t>Doc Created @ Wed Feb 25 2015 05:23:02 GMT-0500 (EST); Doc Merged @ Wed Feb 25 2015 05:23:03 GMT-0500 (EST)</t>
  </si>
  <si>
    <t>Maximizing the non-inductive current fraction in NSTX-U H-modes</t>
  </si>
  <si>
    <t>jon menard, dan boyer, devon battaglia, francesca poli, dennis mueller</t>
  </si>
  <si>
    <t>Advanced Scenarios and Control (ASC)</t>
  </si>
  <si>
    <t>R15-1, R15-2, R15-3</t>
  </si>
  <si>
    <t>A primary justification for the upgrade is to operate with 100% non-inductive current drive. Papers by Menard and Gerhardt have indicated the likely non-inductive plasma currents for a range of Bt and confinement assumptions. This experiment will assess those predictions against the available TF operating space.
Note that these would have an ohmic current ramp, and go into H-mode either at SoFT or a bit before. Goal is to get high non-inductive fraction in the flat-top.</t>
  </si>
  <si>
    <t>Would probably be good to try both before and after lithium conditioning, as Zeff and confinement will likely both be different. And obviously, the higher the TF, the better.
A few shots attempting this early in the run would also be good, since Vloop is already a good diagnostic for this.
Might need some vertical control optimizations, though we can hope that the low l_i of these discharges will be more forgiving.</t>
  </si>
  <si>
    <t>0B5-iztf28QNJaURIZUlZZnJhMEk</t>
  </si>
  <si>
    <t>https://docs.google.com/open?id=0B5-iztf28QNJaURIZUlZZnJhMEk</t>
  </si>
  <si>
    <t>Doc Created @ Tue Feb 10 2015 17:31:46 GMT-0500 (EST); Doc Merged @ Tue Feb 10 2015 17:31:46 GMT-0500 (EST); Email Sent @ Tue Feb 10 2015 17:31:50 GMT-0500 (EST)(sgerhard@pppl.gov,nstx-u@pppl.gov)</t>
  </si>
  <si>
    <t>0B5-iztf28QNJRW42dy1OU2RMaE0</t>
  </si>
  <si>
    <t>https://docs.google.com/open?id=0B5-iztf28QNJRW42dy1OU2RMaE0</t>
  </si>
  <si>
    <t>Doc Created @ Wed Feb 25 2015 05:23:12 GMT-0500 (EST); Doc Merged @ Wed Feb 25 2015 05:23:13 GMT-0500 (EST)</t>
  </si>
  <si>
    <t>autocratn</t>
  </si>
  <si>
    <t>MSE-CIF Calibration</t>
  </si>
  <si>
    <t xml:space="preserve"> Fred</t>
  </si>
  <si>
    <t>Levinton</t>
  </si>
  <si>
    <t>autocratp</t>
  </si>
  <si>
    <t>flevinton@novaphotonics.com</t>
  </si>
  <si>
    <t>dataSheetId</t>
  </si>
  <si>
    <t>"2.46379659E8"</t>
  </si>
  <si>
    <t xml:space="preserve"> Howard Yuh</t>
  </si>
  <si>
    <t>formTriggerSet</t>
  </si>
  <si>
    <t>"TRUE"</t>
  </si>
  <si>
    <t>timeTriggerList</t>
  </si>
  <si>
    <t>"[]"</t>
  </si>
  <si>
    <t>Nova Photonics</t>
  </si>
  <si>
    <t>dataSheetName</t>
  </si>
  <si>
    <t>"Form Responses 1"</t>
  </si>
  <si>
    <t>updateTime</t>
  </si>
  <si>
    <t>"1.424993267265E12"</t>
  </si>
  <si>
    <t>JRT-15, R(15-2)</t>
  </si>
  <si>
    <t>vp</t>
  </si>
  <si>
    <t>"5.1"</t>
  </si>
  <si>
    <t>activeMergeId</t>
  </si>
  <si>
    <t>"1JBXtHfmUOudmx7j9fFrGrLZgVb2YEuA5IryPK_VFfec"</t>
  </si>
  <si>
    <t>timeTriggerSetBy</t>
  </si>
  <si>
    <t>""</t>
  </si>
  <si>
    <t xml:space="preserve"> MSE-CIF beam into gas calibration as per XMP-33,  but with some 
modification to higher TF and PF.</t>
  </si>
  <si>
    <t>formTriggerSetBy</t>
  </si>
  <si>
    <t>"nstx-u@pppl.gov"</t>
  </si>
  <si>
    <t>mergeKeys</t>
  </si>
  <si>
    <t xml:space="preserve"> Source A @90 kV</t>
  </si>
  <si>
    <t>0B5-iztf28QNJMDZtamJaenlteUU</t>
  </si>
  <si>
    <t>"{\"1JBXtHfmUOudmx7j9fFrGrLZgVb2YEuA5IryPK_VFfec\":{\"mergeFileId\":\"1JBXtHfmUOudmx7j9fFrGrLZgVb2YEuA5IryPK_VFfec\",\"name\":\"Forum idea summary\",\"showInSidebar\":true},\"1B6Go9RLHtJTAjp3Y9ESCwNmXboPy8rMZqfL57r4qldU\":{\"mergeFileId\":\"1B6Go9RLHtJTAjp3Y9ESCwNmXboPy8rMZqfL57r4qldU\",\"name\":\"Forum idea summary update\",\"showInSidebar\":true}}"</t>
  </si>
  <si>
    <t>https://docs.google.com/open?id=0B5-iztf28QNJMDZtamJaenlteUU</t>
  </si>
  <si>
    <t>v</t>
  </si>
  <si>
    <t>ssId</t>
  </si>
  <si>
    <t>"1D8wZvEAOW2kTq3NHqN3tmiEe3oIdVxfbGf4wHV9kg2Q"</t>
  </si>
  <si>
    <t>formTriggerList</t>
  </si>
  <si>
    <t>"[\"1JBXtHfmUOudmx7j9fFrGrLZgVb2YEuA5IryPK_VFfec\"]"</t>
  </si>
  <si>
    <t>timeTriggerSet</t>
  </si>
  <si>
    <t>"FALSE"</t>
  </si>
  <si>
    <t>autocrat_sid</t>
  </si>
  <si>
    <t>"1423196657694"</t>
  </si>
  <si>
    <t>Doc Created @ Tue Feb 10 2015 17:31:53 GMT-0500 (EST); Doc Merged @ Tue Feb 10 2015 17:31:54 GMT-0500 (EST); Email Sent @ Tue Feb 10 2015 17:31:58 GMT-0500 (EST)(flevinton@novaphotonics.com,nstx-u@pppl.gov)</t>
  </si>
  <si>
    <t>0B5-iztf28QNJUjJ5MEl0Rl9NSDQ</t>
  </si>
  <si>
    <t>https://docs.google.com/open?id=0B5-iztf28QNJUjJ5MEl0Rl9NSDQ</t>
  </si>
  <si>
    <t>Doc Created @ Wed Feb 25 2015 05:23:24 GMT-0500 (EST); Doc Merged @ Wed Feb 25 2015 05:23:25 GMT-0500 (EST)</t>
  </si>
  <si>
    <t>Commissioning the MGI Valves</t>
  </si>
  <si>
    <t>Roger</t>
  </si>
  <si>
    <t>Raman</t>
  </si>
  <si>
    <t>raman@aa.washington.edu</t>
  </si>
  <si>
    <t>S. Gerhardt, D. Mueller</t>
  </si>
  <si>
    <t>University of Washington</t>
  </si>
  <si>
    <t>JRT-2016</t>
  </si>
  <si>
    <t>NSTX-U will for the first time conduct MGI Research. Three MGI valves will be installed on NSTX-U. These need to undergo the following tests before they will be ready to support XPs.
1) Test each of the valves in the presence of a magnetic field. Initial tests will be conducted at BT=0.4-0.5T
2) 200 Torr.L of Neon will be injected and the vessel pressure increase will be compared to that from shots without a magnetic field. The fast micro ion gauges will be used to record the pressure increase.
3) Repeat the tests in the presence of plasma.</t>
  </si>
  <si>
    <t>Most of the diagnostics will be turned off. For the plasma tests a limited set of diagnostics will be used.</t>
  </si>
  <si>
    <t>0B5-iztf28QNJT1F4WmtuQ1pJNU0</t>
  </si>
  <si>
    <t>https://docs.google.com/open?id=0B5-iztf28QNJT1F4WmtuQ1pJNU0</t>
  </si>
  <si>
    <t>Doc Created @ Tue Feb 10 2015 17:32:03 GMT-0500 (EST); Doc Merged @ Tue Feb 10 2015 17:32:04 GMT-0500 (EST); Email Sent @ Tue Feb 10 2015 17:32:08 GMT-0500 (EST)(raman@aa.washington.edu,nstx-u@pppl.gov)</t>
  </si>
  <si>
    <t>0B5-iztf28QNJZU1ydG9wRVF2VU0</t>
  </si>
  <si>
    <t>https://docs.google.com/open?id=0B5-iztf28QNJZU1ydG9wRVF2VU0</t>
  </si>
  <si>
    <t>Doc Created @ Wed Feb 25 2015 05:23:34 GMT-0500 (EST); Doc Merged @ Wed Feb 25 2015 05:23:35 GMT-0500 (EST)</t>
  </si>
  <si>
    <t>MSE-LIF Calibration</t>
  </si>
  <si>
    <t>Fred</t>
  </si>
  <si>
    <t>Howard Yuh, Yancey Sechrest</t>
  </si>
  <si>
    <t>Calibrate MSE-LIF sustem</t>
  </si>
  <si>
    <t>DNB operation</t>
  </si>
  <si>
    <t>0B5-iztf28QNJbTlqOHplaWp2R3M</t>
  </si>
  <si>
    <t>https://docs.google.com/open?id=0B5-iztf28QNJbTlqOHplaWp2R3M</t>
  </si>
  <si>
    <t>Doc Created @ Tue Feb 10 2015 17:32:11 GMT-0500 (EST); Doc Merged @ Tue Feb 10 2015 17:32:11 GMT-0500 (EST); Email Sent @ Tue Feb 10 2015 17:32:16 GMT-0500 (EST)(flevinton@novaphotonics.com,nstx-u@pppl.gov)</t>
  </si>
  <si>
    <t>0B5-iztf28QNJNm1uTWJoN2ZFZjg</t>
  </si>
  <si>
    <t>https://docs.google.com/open?id=0B5-iztf28QNJNm1uTWJoN2ZFZjg</t>
  </si>
  <si>
    <t>Doc Created @ Wed Feb 25 2015 05:23:45 GMT-0500 (EST); Doc Merged @ Wed Feb 25 2015 05:23:45 GMT-0500 (EST)</t>
  </si>
  <si>
    <t>Commissioning the CHI System</t>
  </si>
  <si>
    <t>D. Mueller, B.A. Nelson</t>
  </si>
  <si>
    <t>Contributes to full NI Opeartions</t>
  </si>
  <si>
    <t>The CHI configuration on NSTX-U is different from that on NSTX. Specifically, the gap between the inner and outer vessel in both the injector and absorber regions is now much less. An initial test of the ability of the new system to be able to generate plasmas is necessary before the system can support experiments. This test is needed very early during the current run period to identify and correct any potential issues.
The work to be done involves:
1) Using only the PF1CL coil at 2, 4 and 8kA,
2) Inject 2 to 6 Torr.L of D2 using the Bay-K injector (at -13ms)
3) With the CHI capacitor bank configured for 10mF, and starting from 1kV, apply increasing levels of voltage to establish plasma break-down requirements and to successfully produce a CHI discharge in which the plasma is localized to the injector region.
4) The most important goal is to determine operating conditions that avoid the formation of absorber arcs, as this is essential before an XP can be written.</t>
  </si>
  <si>
    <t>Plasma current Rogowskii, all magnetics, lower divertor spectroscopy, micro ion gauges are needed. Other diagnostics will be used if available.</t>
  </si>
  <si>
    <t>0B5-iztf28QNJWEhqX2liZF8xa00</t>
  </si>
  <si>
    <t>https://docs.google.com/open?id=0B5-iztf28QNJWEhqX2liZF8xa00</t>
  </si>
  <si>
    <t>Doc Created @ Tue Feb 10 2015 17:32:19 GMT-0500 (EST); Doc Merged @ Tue Feb 10 2015 17:32:20 GMT-0500 (EST); Email Sent @ Tue Feb 10 2015 17:32:24 GMT-0500 (EST)(raman@aa.washington.edu,nstx-u@pppl.gov)</t>
  </si>
  <si>
    <t>0B5-iztf28QNJanEzbml6WVJEcDQ</t>
  </si>
  <si>
    <t>https://docs.google.com/open?id=0B5-iztf28QNJanEzbml6WVJEcDQ</t>
  </si>
  <si>
    <t>Doc Created @ Wed Feb 25 2015 05:23:55 GMT-0500 (EST); Doc Merged @ Wed Feb 25 2015 05:23:56 GMT-0500 (EST)</t>
  </si>
  <si>
    <t>MSE Measurement of NB Interference</t>
  </si>
  <si>
    <t>Cross-cutting and Enabling (CC)</t>
  </si>
  <si>
    <t>Assess interference effects of new NB sources on MSE.  
The MSE-CIF sight lines cross the new neutral beam path.
In this XMP we propose to assess the effects of the emission from these beams on the MSE-CIF signal and determine if  there is any interference 
on the pitch angle measurements.</t>
  </si>
  <si>
    <t>MSE-CIF, source A at 90 kV, New NB sources at ~90 kV.</t>
  </si>
  <si>
    <t>0B5-iztf28QNJUHdoNVVCcUNwWEU</t>
  </si>
  <si>
    <t>https://docs.google.com/open?id=0B5-iztf28QNJUHdoNVVCcUNwWEU</t>
  </si>
  <si>
    <t>Doc Created @ Tue Feb 10 2015 17:32:27 GMT-0500 (EST); Doc Merged @ Tue Feb 10 2015 17:32:28 GMT-0500 (EST); Email Sent @ Tue Feb 10 2015 17:32:32 GMT-0500 (EST)(flevinton@novaphotonics.com,nstx-u@pppl.gov)</t>
  </si>
  <si>
    <t>0B5-iztf28QNJR0tsbzlZMzB1Z2s</t>
  </si>
  <si>
    <t>https://docs.google.com/open?id=0B5-iztf28QNJR0tsbzlZMzB1Z2s</t>
  </si>
  <si>
    <t>Doc Created @ Wed Feb 25 2015 05:24:05 GMT-0500 (EST); Doc Merged @ Wed Feb 25 2015 05:24:06 GMT-0500 (EST)</t>
  </si>
  <si>
    <t>Make contact with NSTX for n=1 tearing mode stability</t>
  </si>
  <si>
    <t>Robert</t>
  </si>
  <si>
    <t>La Haye</t>
  </si>
  <si>
    <t>lahaye@fusion.gat.com</t>
  </si>
  <si>
    <t>John Ferron, Josh King, Carlos Paz-Soldan, Ted Strait, Jack Berkery, Dylan Brennan, Stefan Gerhardt, Clayton Myers, Jong-Kyu Park, Steve Sabbagh, Zhiuri Wang</t>
  </si>
  <si>
    <t>General Atomics</t>
  </si>
  <si>
    <t>Macroscopic Stability (MS)</t>
  </si>
  <si>
    <t xml:space="preserve">  In NSTX at 0.9MA and 0.44T, a prescription was found for reproducible onset of m/n=2/1 tearing modes with self-stabilization at the "marginal" condition on NBI step-down. Stability was interpreted as close to marginal classical tearing with balance thus between stabilizing curvature DR term and neoclassical bootstrap destabilization term Dnc; the stabilizing curvature effect is weak at large aspect ratio as in DIII-D (R/a=2.7) for DR/Dnc ~-1.2*(a/R)**2 all else equal [1]. NSTX-U has somewhat larger aspect ratio than NSTX (R/a from 1.4 to 1.7) so that the relative stabilizing effect of curvature should be decreased by a third, opening up the difference between onset beta and marginal beta. This XP will investigate this and make NSTX-U n=1 tearing onset beta contact with NSTX at similar parameters.
  Experiment would be carried out as for NSTX #134020 with reproducible n=1 tearing onset using modest Li evaporation, IP=1MA and BT=0.5T as close to NSTX parameters (NSTX-U startup parameters but half of eventual NSTX-U full parameters). On-axis NBI only for H-mode and a preprogramed step-down of NBI power aiming to lower beta after tearing onset, stay in ELMing H-mode, keep n=1 tearing mode rotating (no locking to the wall) and self-stabilization at the "marginal" condition.
[1] R.J. La Haye, R.J. Buttery, S.P. Gerhardt, S.A. Sabbagh, and D.P. Brennan, "Aspect ratio effects on neoclassical tearing modes from comparison between DIII-D and National Spherical Torus Experiment”, PHYSICS OF PLASMAS 19, 062506 (2012).</t>
  </si>
  <si>
    <t xml:space="preserve">Could be done in reduced IP and BT startup plasmas? Later in weeks 5-8 or 9-12 OK but want similar IP and BT as in NSTX previously run.
Best is to be done after Li evaporation is made routine in order to achieve reproducible conditions.
Do not want off-axis NBI as want to match NSTX discharges previously run. </t>
  </si>
  <si>
    <t>0B5-iztf28QNJSjlLclZYd1JZNXM</t>
  </si>
  <si>
    <t>https://docs.google.com/open?id=0B5-iztf28QNJSjlLclZYd1JZNXM</t>
  </si>
  <si>
    <t>Doc Created @ Tue Feb 10 2015 17:32:35 GMT-0500 (EST); Doc Merged @ Tue Feb 10 2015 17:32:35 GMT-0500 (EST); Email Sent @ Tue Feb 10 2015 17:32:40 GMT-0500 (EST)(lahaye@fusion.gat.com,nstx-u@pppl.gov)</t>
  </si>
  <si>
    <t>0B5-iztf28QNJSnV0RUN1dk1JUVk</t>
  </si>
  <si>
    <t>https://docs.google.com/open?id=0B5-iztf28QNJSnV0RUN1dk1JUVk</t>
  </si>
  <si>
    <t>Doc Created @ Wed Feb 25 2015 05:24:15 GMT-0500 (EST); Doc Merged @ Wed Feb 25 2015 05:24:16 GMT-0500 (EST)</t>
  </si>
  <si>
    <t>Magnetics Calibration</t>
  </si>
  <si>
    <t>Clayton</t>
  </si>
  <si>
    <t>Myers</t>
  </si>
  <si>
    <t>cmyers@pppl.gov</t>
  </si>
  <si>
    <t>Stefan Gerhardt</t>
  </si>
  <si>
    <t>Calibrate magnetics, including AC PF coil currents for assessing error fields from induced vessel currents.</t>
  </si>
  <si>
    <t>None.</t>
  </si>
  <si>
    <t>0B5-iztf28QNJZGNEUENybG5mWkU</t>
  </si>
  <si>
    <t>https://docs.google.com/open?id=0B5-iztf28QNJZGNEUENybG5mWkU</t>
  </si>
  <si>
    <t>Doc Created @ Tue Feb 10 2015 17:32:43 GMT-0500 (EST); Doc Merged @ Tue Feb 10 2015 17:32:44 GMT-0500 (EST); Email Sent @ Tue Feb 10 2015 17:32:47 GMT-0500 (EST)(cmyers@pppl.gov,nstx-u@pppl.gov)</t>
  </si>
  <si>
    <t>0B5-iztf28QNJbk1YeXZBQmdoVGs</t>
  </si>
  <si>
    <t>https://docs.google.com/open?id=0B5-iztf28QNJbk1YeXZBQmdoVGs</t>
  </si>
  <si>
    <t>Doc Created @ Wed Feb 25 2015 05:24:26 GMT-0500 (EST); Doc Merged @ Wed Feb 25 2015 05:24:26 GMT-0500 (EST)</t>
  </si>
  <si>
    <t xml:space="preserve">Commissioning the Thomson Scattering System </t>
  </si>
  <si>
    <t>Ben</t>
  </si>
  <si>
    <t>LeBlanc</t>
  </si>
  <si>
    <t>leblanc@pppl.gov</t>
  </si>
  <si>
    <t>A. Diallo, M. Coury</t>
  </si>
  <si>
    <t>The goal of this XMP is to commission the MPTS 42-channels. We will be requiring high density L-mode type discharges during which a radial motion (few cm) of the plasma is generated.</t>
  </si>
  <si>
    <t>none.</t>
  </si>
  <si>
    <t>0B5-iztf28QNJRnd5NEFTVHA1U3M</t>
  </si>
  <si>
    <t>https://docs.google.com/open?id=0B5-iztf28QNJRnd5NEFTVHA1U3M</t>
  </si>
  <si>
    <t>Doc Created @ Tue Feb 10 2015 17:32:51 GMT-0500 (EST); Doc Merged @ Tue Feb 10 2015 17:32:51 GMT-0500 (EST); Email Sent @ Tue Feb 10 2015 17:32:57 GMT-0500 (EST)(leblanc@pppl.gov,nstx-u@pppl.gov)</t>
  </si>
  <si>
    <t>0B5-iztf28QNJUkpoRlBxWi1TZnM</t>
  </si>
  <si>
    <t>https://docs.google.com/open?id=0B5-iztf28QNJUkpoRlBxWi1TZnM</t>
  </si>
  <si>
    <t>Doc Created @ Wed Feb 25 2015 05:24:37 GMT-0500 (EST); Doc Merged @ Wed Feb 25 2015 05:24:37 GMT-0500 (EST)</t>
  </si>
  <si>
    <t>HHFW antenna conditioning and performance evaluation</t>
  </si>
  <si>
    <t>Rory</t>
  </si>
  <si>
    <t>Perkins</t>
  </si>
  <si>
    <t>rperkins@pppl.gov</t>
  </si>
  <si>
    <t>Joel Hosea, Gary Taylor, Nicola Bertelli</t>
  </si>
  <si>
    <t>R(15-1)</t>
  </si>
  <si>
    <t>Prior to each set of HHFW experiments, operate HHFW into plasma to check out system performance, to condition antenna to maximum voltage, and to evaluate antenna performance with regards to current machine conditions (especially wall conditioning). Power will be applied starting at a low level (~ 0.6 MW) and raised until either a hard voltage limit or 6 MW is reached.  System performance includes verification of phase and amplitude control, arc control, and plasma current inhibit. Some arcing during the conditioning process is typical but is also expected to improve, increasing the maximum applicable HHFW power that can be applied.  Evaluate plasma heating utilizing magnetics and Thomson scattering. Compare voltage limits and performance in multiple plasma configurations and over different wall conditions.
Additionally, for the first HHFW run in 2015, we must evaluate the heat load from the second neutral beam onto the HHFW antenna limiter under a range of conditions to determine the minimum allowable outer gap and also whether an upgrade is needed for the HHFW limiter.  Also, a new electrical ground was added between the back of each antenna-strap box and the vessel, and we should evaluate the impact of this additional short early in the campaign, as this will guide future work on the test stand to identify further improvements. 
</t>
  </si>
  <si>
    <t>Would like to condition after boronization but before any lithium has been applied.
</t>
  </si>
  <si>
    <t>0B5-iztf28QNJM2E5a0ROSU5HejQ</t>
  </si>
  <si>
    <t>https://docs.google.com/open?id=0B5-iztf28QNJM2E5a0ROSU5HejQ</t>
  </si>
  <si>
    <t>Doc Created @ Tue Feb 10 2015 17:32:59 GMT-0500 (EST); Doc Merged @ Tue Feb 10 2015 17:33:00 GMT-0500 (EST); Email Sent @ Tue Feb 10 2015 17:33:05 GMT-0500 (EST)(rperkins@pppl.gov,nstx-u@pppl.gov)</t>
  </si>
  <si>
    <t>0B5-iztf28QNJcTE3enRtUVFZRzA</t>
  </si>
  <si>
    <t>https://docs.google.com/open?id=0B5-iztf28QNJcTE3enRtUVFZRzA</t>
  </si>
  <si>
    <t>Doc Created @ Wed Feb 25 2015 05:24:48 GMT-0500 (EST); Doc Merged @ Wed Feb 25 2015 05:24:48 GMT-0500 (EST)</t>
  </si>
  <si>
    <t>Neutron diagnostic calibration plasmas (XMP)</t>
  </si>
  <si>
    <t>Douglass</t>
  </si>
  <si>
    <t>Darrow</t>
  </si>
  <si>
    <t>ddarrow@pppl.gov</t>
  </si>
  <si>
    <t>The goal is to establish, as accurately as possible, the ratio between counting efficiencies of the different fission chambers on NSTX-U.  In addition, the goal is to transfer the absolute calibration to the fission chamber current mode signal in at least one detector.  This is all required to assure NSTX-U is operating within its stated safety envelope for neutron production, plus assure that neutron rates for TRANSP comparison are as accurate as possible.</t>
  </si>
  <si>
    <t>Low neutron rate plasmas needed with a single beam at ~45 kV injecting.  Low plasma current (650 kA) may also be desired.  Transition to He gas may be requested if initial neutron rates are too high.  Goal is to obtain as many sec or msec of accumulated neutron emission under steady or slowly varying plasma conditions while maintaining the neutron rate such that the necessary cross-calibrations can be achieved.</t>
  </si>
  <si>
    <t>0B5-iztf28QNJSGM1U0tSdlRwYTg</t>
  </si>
  <si>
    <t>https://docs.google.com/open?id=0B5-iztf28QNJSGM1U0tSdlRwYTg</t>
  </si>
  <si>
    <t>Doc Created @ Tue Feb 10 2015 17:33:07 GMT-0500 (EST); Doc Merged @ Tue Feb 10 2015 17:33:08 GMT-0500 (EST); Email Sent @ Tue Feb 10 2015 17:33:12 GMT-0500 (EST)(ddarrow@pppl.gov,nstx-u@pppl.gov)</t>
  </si>
  <si>
    <t>0B5-iztf28QNJWk9sU0dvX2JWX00</t>
  </si>
  <si>
    <t>https://docs.google.com/open?id=0B5-iztf28QNJWk9sU0dvX2JWX00</t>
  </si>
  <si>
    <t>Doc Created @ Wed Feb 25 2015 05:24:59 GMT-0500 (EST); Doc Merged @ Wed Feb 25 2015 05:24:59 GMT-0500 (EST)</t>
  </si>
  <si>
    <t>Characterization of the Pedestal Structure as function Ip, BT, and Pnbi</t>
  </si>
  <si>
    <t>Ahmed</t>
  </si>
  <si>
    <t>Diallo</t>
  </si>
  <si>
    <t>adiallo@pppl.gov</t>
  </si>
  <si>
    <t xml:space="preserve">R. Maingi, S. Smith, et al. </t>
  </si>
  <si>
    <t>Pedestal Structure and Control (PS)</t>
  </si>
  <si>
    <t>R15-1</t>
  </si>
  <si>
    <t>The goal of this proposal is to provide a complete characterization of the pedestal on NSTX -U with increased engineering parameters (Ip, BT, NBI power). The leading model predicting the pedestal is EPED, which has two main hypotheses, peeling-balloning theory and the microinstability – KBM for limiting the pedestal gradient. To test the hypotheses of this model, the aim of this XP is to obtain data on the pedestal scaling with plasma current, magnetic field, beam tangency radii, and the plasma shape (triangularity).  These various scaling will provide the necessary ingredients to understand the pedestal formation in H-Mode. The dependencies of these scalings as a function of wall coatings (Boron vs Li) will be investigated. In addition, this experiment will target the inter-ELM characterizations of the turbulence to test the KBM hypothesis limiting the pedestal gradient. Finally, this experiment is expected to provide sufficient data to generate a database to provide to edge codes for validating their models. 
This experiment will be carried in 1.5 days for each wall conditioning (Boron and Li) and high triangularity plasmas 
•	Scan Ip  [0.7, 1.0, 1.3] MA @ BT =0.5 with PNBi = 4 MW (use the adequate combinations of the two NBIs to be determined by XMP) 
•	At Ip= 1.0 MA, scan BT = [0.4 , 0.55, 0.65] T 
o	PNBI=[5, 6,7] MW 
All the kinetic and turbulence diagnostics are required. 
</t>
  </si>
  <si>
    <t>All kinetic, and edge turbulence diagnostics will be required.</t>
  </si>
  <si>
    <t>0B5-iztf28QNJTmVDeVhjUzMtQ3M</t>
  </si>
  <si>
    <t>https://docs.google.com/open?id=0B5-iztf28QNJTmVDeVhjUzMtQ3M</t>
  </si>
  <si>
    <t>Doc Created @ Tue Feb 10 2015 17:33:15 GMT-0500 (EST); Doc Merged @ Tue Feb 10 2015 17:33:16 GMT-0500 (EST); Email Sent @ Tue Feb 10 2015 17:33:21 GMT-0500 (EST)(adiallo@pppl.gov,nstx-u@pppl.gov)</t>
  </si>
  <si>
    <t>0B5-iztf28QNJbll2OFpxbXJsMTg</t>
  </si>
  <si>
    <t>https://docs.google.com/open?id=0B5-iztf28QNJbll2OFpxbXJsMTg</t>
  </si>
  <si>
    <t>Doc Created @ Wed Feb 25 2015 05:25:14 GMT-0500 (EST); Doc Merged @ Wed Feb 25 2015 05:25:15 GMT-0500 (EST)</t>
  </si>
  <si>
    <t>6 SPA and Proportional RWM control Checkout</t>
  </si>
  <si>
    <t>Sabbagh, Myers,...</t>
  </si>
  <si>
    <t>Qualify the RWM control system with Bp only and Bp+BR sensors.
Note that this also checks 6 sub-unit operation under physics control for the first time.</t>
  </si>
  <si>
    <t>Need to verify that mode-ID is properly functioning before this can be done.
Also need to ISTP the HF/SPA system</t>
  </si>
  <si>
    <t>0B5-iztf28QNJeExnMHVrS21EQUU</t>
  </si>
  <si>
    <t>https://docs.google.com/open?id=0B5-iztf28QNJeExnMHVrS21EQUU</t>
  </si>
  <si>
    <t>Doc Created @ Tue Feb 10 2015 17:33:24 GMT-0500 (EST); Doc Merged @ Tue Feb 10 2015 17:33:25 GMT-0500 (EST); Email Sent @ Tue Feb 10 2015 17:33:30 GMT-0500 (EST)(sgerhard@pppl.gov,nstx-u@pppl.gov)</t>
  </si>
  <si>
    <t>0B5-iztf28QNJcy1NTkc2N3F3YkE</t>
  </si>
  <si>
    <t>https://docs.google.com/open?id=0B5-iztf28QNJcy1NTkc2N3F3YkE</t>
  </si>
  <si>
    <t>Doc Created @ Wed Feb 25 2015 05:25:24 GMT-0500 (EST); Doc Merged @ Wed Feb 25 2015 05:25:24 GMT-0500 (EST)</t>
  </si>
  <si>
    <t>Software Test fon n=0 Control</t>
  </si>
  <si>
    <t>Boyer, Mueller</t>
  </si>
  <si>
    <t>Goal is to checkout the new voltage difference loops, and understand how to run the machine with different combinations of those loops.
Note that these were installed for 2011, but never used.</t>
  </si>
  <si>
    <t>It is unclear if this needs a separate XMP, or if it will be folded into something else. I include it for completeness.</t>
  </si>
  <si>
    <t>0B5-iztf28QNJa2pfaFhUVG1VWlk</t>
  </si>
  <si>
    <t>https://docs.google.com/open?id=0B5-iztf28QNJa2pfaFhUVG1VWlk</t>
  </si>
  <si>
    <t>Doc Created @ Tue Feb 10 2015 17:33:33 GMT-0500 (EST); Doc Merged @ Tue Feb 10 2015 17:33:33 GMT-0500 (EST); Email Sent @ Tue Feb 10 2015 17:33:37 GMT-0500 (EST)(sgerhard@pppl.gov,nstx-u@pppl.gov)</t>
  </si>
  <si>
    <t>0B5-iztf28QNJalhXYzdhd2xmRXM</t>
  </si>
  <si>
    <t>https://docs.google.com/open?id=0B5-iztf28QNJalhXYzdhd2xmRXM</t>
  </si>
  <si>
    <t>Doc Created @ Wed Feb 25 2015 05:25:33 GMT-0500 (EST); Doc Merged @ Wed Feb 25 2015 05:25:34 GMT-0500 (EST)</t>
  </si>
  <si>
    <t>FIDA/ssNPA/sFLIP checkout</t>
  </si>
  <si>
    <t>Deyong</t>
  </si>
  <si>
    <t>Liu</t>
  </si>
  <si>
    <t>deyongl@uci.edu</t>
  </si>
  <si>
    <t>D. S. Darrow. W. W. Heidbrink, M. Podesta</t>
  </si>
  <si>
    <t>China</t>
  </si>
  <si>
    <t>University of California - Irvine</t>
  </si>
  <si>
    <t>R15-2, JRT-15</t>
  </si>
  <si>
    <t>The t-FIDA and ssNPA system are new and critical diagnostics to characterize the confinement of fast ions from the new off-axis NBI. The goal of this XMP is to check and optimize v-FIDA, t-FIDA, ssNPA and sFLIP fast ion diagnostics with quiescent L mode plasmas and beam blips to assure they are ready to support the main XPs.  The FIDA system checkout will involve: (a) background signal check with modulated NBI, and (b) f-FIDA filter angle optimization with a few identical repeat shots.  For the ssNPA system, modulated on-axis and off-axis NBI will be used to check each individual ssNPA subsystem and active/passive signals. Additionally, the sFLIP diagnostic will monitor fast ion losses during Ip and Bt scan or current ramp-up/ramp-down phase with beam blips.</t>
  </si>
  <si>
    <t>Require relatively clean machine (low oxygen) to avoid impurity contamination in FIDA spectra. Also require on-axis and new off-axis NBI systems with relatively low voltage and low power, plus a few beam modulation patterns. Need magnetics, plasma profile diagnostics (Thomson scattering, CHERS), MSE, and fast ion diagnostics (neutrons, vertical-FIDA, tangential FIDA, ssNPA and sFLIP).</t>
  </si>
  <si>
    <t>0B5-iztf28QNJQ0Y2aE84Q2FCR3M</t>
  </si>
  <si>
    <t>https://docs.google.com/open?id=0B5-iztf28QNJQ0Y2aE84Q2FCR3M</t>
  </si>
  <si>
    <t>Doc Created @ Tue Feb 10 2015 17:33:40 GMT-0500 (EST); Doc Merged @ Tue Feb 10 2015 17:33:41 GMT-0500 (EST); Email Sent @ Tue Feb 10 2015 17:33:45 GMT-0500 (EST)(deyongl@uci.edu,nstx-u@pppl.gov)</t>
  </si>
  <si>
    <t>0B5-iztf28QNJMk9kLWtHRFdWdnc</t>
  </si>
  <si>
    <t>https://docs.google.com/open?id=0B5-iztf28QNJMk9kLWtHRFdWdnc</t>
  </si>
  <si>
    <t>Doc Created @ Wed Feb 25 2015 05:25:43 GMT-0500 (EST); Doc Merged @ Wed Feb 25 2015 05:25:44 GMT-0500 (EST)</t>
  </si>
  <si>
    <t>CHERS XMP</t>
  </si>
  <si>
    <t>Mario</t>
  </si>
  <si>
    <t>Podesta</t>
  </si>
  <si>
    <t>mpodesta@pppl.gov</t>
  </si>
  <si>
    <t>R. Bell</t>
  </si>
  <si>
    <t>all of the above...</t>
  </si>
  <si>
    <t>This XMP will assess schemes for interpretation of CHERS data when the 2nd NB line is operating.</t>
  </si>
  <si>
    <t>Requires 2 run days, separated by 2-4 weeks.
Day#1 can be run early, as long as plasmas (L- and H-mode) have flat-top phase of ~0.5sec.
Requires MPTS, EFIT.
Requires NB power of 4MW or more, NB modulation for both NB line#1 and #2.</t>
  </si>
  <si>
    <t>0B5-iztf28QNJVEFvd1NWR2hGZEE</t>
  </si>
  <si>
    <t>https://docs.google.com/open?id=0B5-iztf28QNJVEFvd1NWR2hGZEE</t>
  </si>
  <si>
    <t>Doc Created @ Tue Feb 10 2015 17:33:48 GMT-0500 (EST); Doc Merged @ Tue Feb 10 2015 17:33:48 GMT-0500 (EST); Email Sent @ Tue Feb 10 2015 17:33:57 GMT-0500 (EST)(mpodesta@pppl.gov,nstx-u@pppl.gov)</t>
  </si>
  <si>
    <t>0B5-iztf28QNJLUJHOWpzR1F0dVU</t>
  </si>
  <si>
    <t>https://docs.google.com/open?id=0B5-iztf28QNJLUJHOWpzR1F0dVU</t>
  </si>
  <si>
    <t>Doc Created @ Wed Feb 25 2015 05:25:54 GMT-0500 (EST); Doc Merged @ Wed Feb 25 2015 05:25:54 GMT-0500 (EST)</t>
  </si>
  <si>
    <t>High-Z reference discharge development</t>
  </si>
  <si>
    <t xml:space="preserve">Mike </t>
  </si>
  <si>
    <t>Jaworski</t>
  </si>
  <si>
    <t>mjaworsk@pppl.gov</t>
  </si>
  <si>
    <t>none yet</t>
  </si>
  <si>
    <t>Milestone R16-2</t>
  </si>
  <si>
    <t>XMP
This XMP will develop the baseline shape and operation for M&amp;PTSG experiments that will be conducted on the high-Z divertor tiles (row 2).  
An isolver solution has already been created for this shape.  Most important feature will be maintaining a consistent strike-point location/evolution for experiments on the high-Z divertor in 2016.  This XMP will develop the shape and parameter scans needed for experiments in the future.  A power scan, divertor gas puffing scan and Ip scan will provide a range of input powers and divertor conditions.</t>
  </si>
  <si>
    <t>Diagnostics for locating the strike point: Langmuir probes, IR thermography, div. cameras, magnetic reconstruction.
</t>
  </si>
  <si>
    <t>0B5-iztf28QNJaV9TVlY4WnFIQkU</t>
  </si>
  <si>
    <t>https://docs.google.com/open?id=0B5-iztf28QNJaV9TVlY4WnFIQkU</t>
  </si>
  <si>
    <t>Doc Created @ Tue Feb 10 2015 17:34:00 GMT-0500 (EST); Doc Merged @ Tue Feb 10 2015 17:34:00 GMT-0500 (EST); Email Sent @ Tue Feb 10 2015 17:34:06 GMT-0500 (EST)(mjaworsk@pppl.gov,nstx-u@pppl.gov)</t>
  </si>
  <si>
    <t>0B5-iztf28QNJdVU2Mm9fbjFYM00</t>
  </si>
  <si>
    <t>https://docs.google.com/open?id=0B5-iztf28QNJdVU2Mm9fbjFYM00</t>
  </si>
  <si>
    <t>Doc Created @ Wed Feb 25 2015 05:26:04 GMT-0500 (EST); Doc Merged @ Wed Feb 25 2015 05:26:04 GMT-0500 (EST)</t>
  </si>
  <si>
    <t>Initial H-mode access on NSTX-U</t>
  </si>
  <si>
    <t>Dennis Mueller, Stan Kaye, Rajesh Maingi</t>
  </si>
  <si>
    <t>Commissioning XMP.  Follows development of a high current (0.5 - 1MA) flattop in L-mode.  Goal is to identify suitable HFS fueling, timing of X-point formation, GDC length and NBI power to obtain reliable H-mode access at the start of flattop. Secondary goal is to optimize the mix of fueling locations and timing to reduce the H-mode power threshold and the amount of early fueling. A later XMP (Mueller) will work to optimize timing of H-mode access in Ip ramp for high-performance discharges.</t>
  </si>
  <si>
    <t xml:space="preserve">Machine is clean enough to generate Ip &gt; 0.5 MA, diverted L-mode flattop with NBI heating.  TS to confirm pedestal development and filterscopes/USXR for evaluating H-mode access. All HFS/LFS gas under PCS control. </t>
  </si>
  <si>
    <t>0B5-iztf28QNJR1N0c0ZzdHhIVVE</t>
  </si>
  <si>
    <t>https://docs.google.com/open?id=0B5-iztf28QNJR1N0c0ZzdHhIVVE</t>
  </si>
  <si>
    <t>Doc Created @ Tue Feb 10 2015 17:34:09 GMT-0500 (EST); Doc Merged @ Tue Feb 10 2015 17:34:09 GMT-0500 (EST); Email Sent @ Tue Feb 10 2015 17:34:14 GMT-0500 (EST)(dbattagl@pppl.gov,nstx-u@pppl.gov)</t>
  </si>
  <si>
    <t>0B5-iztf28QNJMHFMX2JrOFJNNlE</t>
  </si>
  <si>
    <t>https://docs.google.com/open?id=0B5-iztf28QNJMHFMX2JrOFJNNlE</t>
  </si>
  <si>
    <t>Doc Created @ Wed Feb 25 2015 05:26:14 GMT-0500 (EST); Doc Merged @ Wed Feb 25 2015 05:26:15 GMT-0500 (EST)</t>
  </si>
  <si>
    <t>Granule Injector operational readiness assessment</t>
  </si>
  <si>
    <t>Lunsford</t>
  </si>
  <si>
    <t>rlunsfor@pppl.gov</t>
  </si>
  <si>
    <t>L. Roquemore, R. Kaita, M. Jaworski</t>
  </si>
  <si>
    <t>ITPA Pedestal and Edge Physics Joint Experiment #30</t>
  </si>
  <si>
    <t>Prior to experiments utilizing the NSTX-U granule injector it will be necessary to confirm operational readiness of the constituent components.    While most of this can be done offline, a plasma is required to fully confirm dropper operation and time of flight calculations as well as the species specific particle alignment.  Readiness check to be done with boron carbide particles to maintain a lithium free test cell.  While an additional readiness check and possible impeller re-alignment will be necessary prior to lithium injection, we anticipate this to be a minor issue.
</t>
  </si>
  <si>
    <t xml:space="preserve">Granule injector operation can be assessed with any plasma robust enough to ablate the injected particles. </t>
  </si>
  <si>
    <t>0B5-iztf28QNJQ01nWnlNR3hwdTQ</t>
  </si>
  <si>
    <t>https://docs.google.com/open?id=0B5-iztf28QNJQ01nWnlNR3hwdTQ</t>
  </si>
  <si>
    <t>Doc Created @ Tue Feb 10 2015 17:34:17 GMT-0500 (EST); Doc Merged @ Tue Feb 10 2015 17:34:18 GMT-0500 (EST); Email Sent @ Tue Feb 10 2015 17:34:23 GMT-0500 (EST)(rlunsfor@pppl.gov,nstx-u@pppl.gov)</t>
  </si>
  <si>
    <t>0B5-iztf28QNJbTlodXRSLXdPVmc</t>
  </si>
  <si>
    <t>https://docs.google.com/open?id=0B5-iztf28QNJbTlodXRSLXdPVmc</t>
  </si>
  <si>
    <t>Doc Created @ Wed Feb 25 2015 05:26:24 GMT-0500 (EST); Doc Merged @ Wed Feb 25 2015 05:26:24 GMT-0500 (EST)</t>
  </si>
  <si>
    <t>RWM state-space control with 6 coils - checkout XMP</t>
  </si>
  <si>
    <t>S.A.</t>
  </si>
  <si>
    <t>Sabbagh</t>
  </si>
  <si>
    <t>sabbagh@pppl.gov</t>
  </si>
  <si>
    <t>J.M. Bialek, J.W. Berkery, Y.S. Park</t>
  </si>
  <si>
    <t>Columbia University</t>
  </si>
  <si>
    <t>NSTX-U R(15-3), ITPA MDC-19</t>
  </si>
  <si>
    <t>The new NSTX RWM state space controller has been upgraded to allow independent control of the six RWM coils. Some run time is needed to test this system once developed. However, most of the system checkout will be possible in piggyback operation alone. A couple to a few hours operation may be needed for system checkout with gains on the overall current requests set to values leading to normal SPA current levels. The piggyback tests would be conducted with the gains on the overall current requests set to produce insignificant SPA currents.
The initial implementation of the RWM state space controller (RWMSC) in 2010 was conducted entirely in piggyback mode. This was performed by setting the overall RWMSC scalar gain to a small value (1e-3), which allowed actual operation of the RWMSC with SPA currents going to the RWM coils without influencing machine operation.
Test independent control of the six RWM coils, using n = 1, and n = 2 input eigenfunctions to the RWMSC in piggyback mode with overall scalar gain = 1e-3. Once this test checks out, take the following shots (assuming successful shots):
A) With default RWMSC control matrices
     (Gain for overall SPA current request set to 1.0)
     - Pre-programmed n = 1 SPA configuration, square wave  pulse (1 shot)
     - Preprogrammed n = 2 SPA configuration, square wave pulse (1 shot)
    - Choose one of the above, change overall observer gain (1 shot)
B) With a different set of setting on the RWMSC control matrices
     (Gain for overall SPA current request set to 1.0)
     - Pre-programmed n = 1 SPA configuration, square wave  pulse (1 shot)
     - Preprogrammed n = 2 SPA configuration, square wave pulse (1 shot)
    - Choose one of the above, change overall observer gain (1 shot)
</t>
  </si>
  <si>
    <t xml:space="preserve">Requires RWM Bp sensors operational, RWM state space controller with independent RWM coil operational
 </t>
  </si>
  <si>
    <t>0B5-iztf28QNJQ3hEU1pZYnZFOEU</t>
  </si>
  <si>
    <t>https://docs.google.com/open?id=0B5-iztf28QNJQ3hEU1pZYnZFOEU</t>
  </si>
  <si>
    <t>Doc Created @ Tue Feb 10 2015 17:34:26 GMT-0500 (EST); Doc Merged @ Tue Feb 10 2015 17:34:26 GMT-0500 (EST); Email Sent @ Tue Feb 10 2015 17:34:31 GMT-0500 (EST)(sabbagh@pppl.gov,nstx-u@pppl.gov)</t>
  </si>
  <si>
    <t>0B5-iztf28QNJY1pWakZYcUIwcnc</t>
  </si>
  <si>
    <t>https://docs.google.com/open?id=0B5-iztf28QNJY1pWakZYcUIwcnc</t>
  </si>
  <si>
    <t>Doc Created @ Wed Feb 25 2015 05:26:33 GMT-0500 (EST); Doc Merged @ Wed Feb 25 2015 05:26:34 GMT-0500 (EST)</t>
  </si>
  <si>
    <t>XMP for MHD Spectroscopy Checkout</t>
  </si>
  <si>
    <t>Jack</t>
  </si>
  <si>
    <t>Berkery</t>
  </si>
  <si>
    <t>jberkery@pppl.gov</t>
  </si>
  <si>
    <t>Steve Sabbagh, Zhirui Wang</t>
  </si>
  <si>
    <t>R15-3: Develop physics+operational tools for high-performance discharges</t>
  </si>
  <si>
    <t>MHD spectroscopy was utilized in NSTX to measure resonant field amplification (RFA) of applied n=1 AC magnetic fields and thereby determine the proximity to global stability boundaries [1].  The optimal frequency in NSTX was around 30 Hz in the co-rotating direction [2], but often 40 Hz was used since a higher frequency is preferable [1].  This technique will be used again in NSTX-U in various MS TSG experiments, and therefore the capability must be re-established.  We will use the existing NSTX midplane coils to apply n=1 AC fields, the poloidal RWM magnetic sensors to measure the resulting field, and an existing analysis code to find the RFA.
Suggested shots (assuming good shots)
A) Plasma with NBI power to produce betaN near no-wall limit (betaN ~ 2.5)
   1 co-rotating: 40 Hz, 55 Hz, 70 Hz (1 shot)
   2) counter-rotating: 55 Hz, 40 Hz, 20 Hz (1 shot)
B) Plasma with NBI power to produce betaN above no-wall limit (betaN &gt; 4.5)
   1 co-rotating: 40 Hz, 55 Hz, 70 Hz (1 shot)
   2) counter-rotating: 55 Hz, 40 Hz, 20 Hz (1 shot)
</t>
  </si>
  <si>
    <t>This XMP should be run after “Magnetics Calibration“ by Myers and “Software test for n=1 RWM and error field control with 6 SPAs” by Gerhardt, and after a good H-mode plasma has been established.
Diagnostics required: Magnetics, especially the RWM sensors.
</t>
  </si>
  <si>
    <t>0B5-iztf28QNJODZRQlF1Z3lvZUU</t>
  </si>
  <si>
    <t>https://docs.google.com/open?id=0B5-iztf28QNJODZRQlF1Z3lvZUU</t>
  </si>
  <si>
    <t>Doc Created @ Tue Feb 10 2015 17:34:34 GMT-0500 (EST); Doc Merged @ Tue Feb 10 2015 17:34:35 GMT-0500 (EST); Email Sent @ Tue Feb 10 2015 17:34:39 GMT-0500 (EST)(jberkery@pppl.gov,nstx-u@pppl.gov)</t>
  </si>
  <si>
    <t>0B5-iztf28QNJb2dIdGFSZ2xwOXM</t>
  </si>
  <si>
    <t>https://docs.google.com/open?id=0B5-iztf28QNJb2dIdGFSZ2xwOXM</t>
  </si>
  <si>
    <t>Doc Created @ Wed Feb 25 2015 05:26:43 GMT-0500 (EST); Doc Merged @ Wed Feb 25 2015 05:26:43 GMT-0500 (EST)</t>
  </si>
  <si>
    <t>Commission rtEFIT, ISOFLUX</t>
  </si>
  <si>
    <t>Dan</t>
  </si>
  <si>
    <t>Boyer</t>
  </si>
  <si>
    <t>mboyer@pppl.gov</t>
  </si>
  <si>
    <t>S. Gerhardt, D. Gates, S. Sabbagh, E. Kolemen</t>
  </si>
  <si>
    <t>15-3</t>
  </si>
  <si>
    <t>rtEFIT and ISOFLUX will enable precise control over the plasma boundary. Offline tests, development tests, and piggybacking shots will be used to check-out rtEFIT. A series of shots will be used to tune the ISOFLUX control gains for the outer gap and squareness.</t>
  </si>
  <si>
    <t>Need the PCS code debugged offline. Parts of this XMP could be phased over multiple days.</t>
  </si>
  <si>
    <t>0B5-iztf28QNJZGhqODBTb2x0NUk</t>
  </si>
  <si>
    <t>https://docs.google.com/open?id=0B5-iztf28QNJZGhqODBTb2x0NUk</t>
  </si>
  <si>
    <t>Doc Created @ Tue Feb 10 2015 17:34:41 GMT-0500 (EST); Doc Merged @ Tue Feb 10 2015 17:34:42 GMT-0500 (EST); Email Sent @ Tue Feb 10 2015 17:34:47 GMT-0500 (EST)(mboyer@pppl.gov,nstx-u@pppl.gov)</t>
  </si>
  <si>
    <t>0B5-iztf28QNJTUtFSnA0ejM1ek0</t>
  </si>
  <si>
    <t>https://docs.google.com/open?id=0B5-iztf28QNJTUtFSnA0ejM1ek0</t>
  </si>
  <si>
    <t>Doc Created @ Wed Feb 25 2015 05:26:52 GMT-0500 (EST); Doc Merged @ Wed Feb 25 2015 05:26:53 GMT-0500 (EST)</t>
  </si>
  <si>
    <t>Beam power and beta-N control</t>
  </si>
  <si>
    <t>S. Gerhardt, D. Gates, E. Kolemen, D. Mueller, D. Battaglia</t>
  </si>
  <si>
    <t>Beam algorithm will enable PCS control of total and individual beam powers. betaN control will use feedback control of the total power to track requested betaN trajectory. Offline testing will be done to check-out algorithm. Series of shots will be done to track different value of betaN, assess effect of beam ‘batting order’.</t>
  </si>
  <si>
    <t>0B5-iztf28QNJcU1hbTJZOXdiTlU</t>
  </si>
  <si>
    <t>https://docs.google.com/open?id=0B5-iztf28QNJcU1hbTJZOXdiTlU</t>
  </si>
  <si>
    <t>Doc Created @ Tue Feb 10 2015 17:34:51 GMT-0500 (EST); Doc Merged @ Tue Feb 10 2015 17:34:51 GMT-0500 (EST); Email Sent @ Tue Feb 10 2015 17:34:56 GMT-0500 (EST)(mboyer@pppl.gov,nstx-u@pppl.gov)</t>
  </si>
  <si>
    <t>0B5-iztf28QNJeXBDX19KbTg0R2s</t>
  </si>
  <si>
    <t>https://docs.google.com/open?id=0B5-iztf28QNJeXBDX19KbTg0R2s</t>
  </si>
  <si>
    <t>Doc Created @ Wed Feb 25 2015 05:27:02 GMT-0500 (EST); Doc Merged @ Wed Feb 25 2015 05:27:02 GMT-0500 (EST)</t>
  </si>
  <si>
    <t>ELM-induced fueling effects  on the pedestal evolution</t>
  </si>
  <si>
    <t>D. Battaglia, F. Scotti, V. Soukhanovskii, J. Boedo, et al.</t>
  </si>
  <si>
    <t xml:space="preserve">The goal of this experiment is to characterize the role of the wall outgassing, divertor fueling and gas fueling on the inter-ELM pedestal recovery rate. Motivated by recent experiments on DIII-D that have shown that the pedestal density increases on rather fast time scale (~ 3 -5 ms) while the temperature has a slow evolution until saturation. The recovery rate appears to be independent of plasma current.  Simulation using UEGDE report in Pigarov JNM 2014 modeled the temporal evolution of the Deuterium inventories between ELMs on DIII-D. Similarly, modeling using XGC0 has shown the main contributor to the pedestal recovery is the recycling from the divertor. We propose a controlled experiment that will first scan the plasma positions (vertical position and outer gap), second utilized various gas puffs (including SGI), to vary the fueling between ELMs. We expect from this experiment to quantify the contribution from each sources (wall outgassing, divertor, and gas fuelling) in the pedestal recovery rate. This experiment will target reproducible NBI heated ELMy discharges (at high plasma current and high triangularity) in Boron and Li wall coatings. In the case of ELM-free regimes, RMP- or LGI- triggered ELMs will be used. In addition, the changes in edge turbulence will be investigated. </t>
  </si>
  <si>
    <t>This XP should be executed once a good ELMy discharge at high current ( 1.2  to 1.5 MA) has been established.
</t>
  </si>
  <si>
    <t>0B5-iztf28QNJaHludHRYQ3FXNVk</t>
  </si>
  <si>
    <t>https://docs.google.com/open?id=0B5-iztf28QNJaHludHRYQ3FXNVk</t>
  </si>
  <si>
    <t>Doc Created @ Tue Feb 10 2015 17:34:59 GMT-0500 (EST); Doc Merged @ Tue Feb 10 2015 17:34:59 GMT-0500 (EST); Email Sent @ Tue Feb 10 2015 17:35:03 GMT-0500 (EST)(adiallo@pppl.gov,nstx-u@pppl.gov)</t>
  </si>
  <si>
    <t>0B5-iztf28QNJRWlQSDZ1THZObm8</t>
  </si>
  <si>
    <t>https://docs.google.com/open?id=0B5-iztf28QNJRWlQSDZ1THZObm8</t>
  </si>
  <si>
    <t>Doc Created @ Wed Feb 25 2015 05:27:12 GMT-0500 (EST); Doc Merged @ Wed Feb 25 2015 05:27:12 GMT-0500 (EST)</t>
  </si>
  <si>
    <t>Materials Analysis Particle Probe Commissioning</t>
  </si>
  <si>
    <t xml:space="preserve">Jean Paul </t>
  </si>
  <si>
    <t>Allain</t>
  </si>
  <si>
    <t>allain@illinois.edu</t>
  </si>
  <si>
    <t>Felipe Bedoya, Robert Kaita, Robert Ellis, Matt Lucia, Charles Skinner</t>
  </si>
  <si>
    <t>University of Illinois</t>
  </si>
  <si>
    <t>The goal is to ensure proper functioning of the diagnostic capabilities of MAPP. This includes testing and troubleshooting of the control software and hardware on the chamber and instruments rack.  
Operation of MAPP requires three major phases for initial commissioning of diagnostic and operational systems: instrumentation power-up including system warm-up (e.g. analyzer initialization, sample verification, vacuum systems operational checks), MAPP probe head insertion and retraction from NSTX-U divertor region and MAPP surface analysis operation.  All of these phases must be functional during operation of NSTX-U plasmas.  
The instrumentation power up and system warm up involves testing and possible troubleshooting of virtual instruments to control MAPP’s systems. It also accounts for testing of MAPP’s hardware. This step includes testing of: vacuum systems, xray gun, micro-channel plate detector, energy analyzer, gas manifold systems, irradiation tools and heating systems. The final component of this section contains implementation and testing of the hard interlock system to ensure safe operation in NSTX-U. 
The second step includes testing of the samples holder probe head; it is dedicated to check proper alignment to prevent potential interferences during the insertion in the divertor region. Correct alignment will also ensure the proper synchronization of MAPP with other diagnostics i.e. Dalpha radiation measurements. 
The final step is devoted to final calibration and checking the synchronization of the VIs running MAPP’s systems. A standard sequence of operation in MAPP will be:
1.	X ray system on
2.	X ray gun turn off
3.	Sputtering or cleaning
4.	Repeat steps from 1-2 if no more sputtering or cleaning is needed and an additional XPS scan is wanted. Repeat steps 1-3 in case several steps of sputtering are needed. 
A successful run of this sequence means correct commissioning and installation of the diagnostic. This procedure is submitted as an XMP. 
</t>
  </si>
  <si>
    <t>0B5-iztf28QNJb1YyRTRNM1N0bWc</t>
  </si>
  <si>
    <t>https://docs.google.com/open?id=0B5-iztf28QNJb1YyRTRNM1N0bWc</t>
  </si>
  <si>
    <t>Doc Created @ Tue Feb 10 2015 17:35:06 GMT-0500 (EST); Doc Merged @ Tue Feb 10 2015 17:35:07 GMT-0500 (EST); Email Sent @ Tue Feb 10 2015 17:35:11 GMT-0500 (EST)(allain@illinois.edu,nstx-u@pppl.gov)</t>
  </si>
  <si>
    <t>0B5-iztf28QNJT3BTOGNKYUxjeFE</t>
  </si>
  <si>
    <t>https://docs.google.com/open?id=0B5-iztf28QNJT3BTOGNKYUxjeFE</t>
  </si>
  <si>
    <t>Doc Created @ Wed Feb 25 2015 05:27:21 GMT-0500 (EST); Doc Merged @ Wed Feb 25 2015 05:27:22 GMT-0500 (EST)</t>
  </si>
  <si>
    <t>Flow rate calibration of gas valves</t>
  </si>
  <si>
    <t>Calibrate puff valve flow rate vs plenum pressure and open time. Calibrate piezo flow rate vs PWM request.</t>
  </si>
  <si>
    <t>Does not need run time. But must be done before operations.</t>
  </si>
  <si>
    <t>0B5-iztf28QNJRm5qelN6S0g2MEE</t>
  </si>
  <si>
    <t>https://docs.google.com/open?id=0B5-iztf28QNJRm5qelN6S0g2MEE</t>
  </si>
  <si>
    <t>Doc Created @ Tue Feb 10 2015 17:35:14 GMT-0500 (EST); Doc Merged @ Tue Feb 10 2015 17:35:15 GMT-0500 (EST); Email Sent @ Tue Feb 10 2015 17:35:19 GMT-0500 (EST)(dbattagl@pppl.gov,nstx-u@pppl.gov)</t>
  </si>
  <si>
    <t>0B5-iztf28QNJYTliNW9iQ19YY1U</t>
  </si>
  <si>
    <t>https://docs.google.com/open?id=0B5-iztf28QNJYTliNW9iQ19YY1U</t>
  </si>
  <si>
    <t>Doc Created @ Wed Feb 25 2015 05:27:31 GMT-0500 (EST); Doc Merged @ Wed Feb 25 2015 05:27:32 GMT-0500 (EST)</t>
  </si>
  <si>
    <t>Optimization of the between-shot helium GDC</t>
  </si>
  <si>
    <t xml:space="preserve">The goal is to identify if there is any benefit to impurity and particle control if the shot cycle is lengthened in order to achieve a longer glow discharge.  This could be an interesting 2-4 shot test during H-mode commissioning shots. </t>
  </si>
  <si>
    <t>Repeatable H-mode shots.</t>
  </si>
  <si>
    <t>0B5-iztf28QNJZmpwTTUzcEppaEE</t>
  </si>
  <si>
    <t>https://docs.google.com/open?id=0B5-iztf28QNJZmpwTTUzcEppaEE</t>
  </si>
  <si>
    <t>Doc Created @ Tue Feb 10 2015 17:35:23 GMT-0500 (EST); Doc Merged @ Tue Feb 10 2015 17:35:23 GMT-0500 (EST); Email Sent @ Tue Feb 10 2015 17:35:28 GMT-0500 (EST)(dbattagl@pppl.gov,nstx-u@pppl.gov)</t>
  </si>
  <si>
    <t>0B5-iztf28QNJbUZKOGhJVHQzV2c</t>
  </si>
  <si>
    <t>https://docs.google.com/open?id=0B5-iztf28QNJbUZKOGhJVHQzV2c</t>
  </si>
  <si>
    <t>Doc Created @ Wed Feb 25 2015 05:27:41 GMT-0500 (EST); Doc Merged @ Wed Feb 25 2015 05:27:42 GMT-0500 (EST)</t>
  </si>
  <si>
    <t>IR thermography calibration and commissioning</t>
  </si>
  <si>
    <t>Joon-Wook</t>
  </si>
  <si>
    <t>Ahn</t>
  </si>
  <si>
    <t>jahn@pppl.gov</t>
  </si>
  <si>
    <t>tkgray@pppl.gov, kgan@pppl.gov</t>
  </si>
  <si>
    <t>Oak Ridge National Laboratory</t>
  </si>
  <si>
    <t>This XMP proposal is to commission IR thermography cameras and to perform intensity calibrations. The blackbody calibration data at the bench will be compared to the data taken during the bake-out. IR intensity with pristine PFC and in the presence of surface layer, and their impact on surface temperature measurement will be assessed. Temperature data from the fast eroding thermocouple, when available, will be also used to cross-check IR data.</t>
  </si>
  <si>
    <t>This XMP can be done in the piggy-back basis.</t>
  </si>
  <si>
    <t>0B5-iztf28QNJLUo1VHdEZTRqbG8</t>
  </si>
  <si>
    <t>https://docs.google.com/open?id=0B5-iztf28QNJLUo1VHdEZTRqbG8</t>
  </si>
  <si>
    <t>Doc Created @ Tue Feb 10 2015 17:35:30 GMT-0500 (EST); Doc Merged @ Tue Feb 10 2015 17:35:31 GMT-0500 (EST); Email Sent @ Tue Feb 10 2015 17:35:36 GMT-0500 (EST)(jahn@pppl.gov,nstx-u@pppl.gov)</t>
  </si>
  <si>
    <t>0B5-iztf28QNJTHBzOTRoanN6WUE</t>
  </si>
  <si>
    <t>https://docs.google.com/open?id=0B5-iztf28QNJTHBzOTRoanN6WUE</t>
  </si>
  <si>
    <t>Doc Created @ Wed Feb 25 2015 05:28:00 GMT-0500 (EST); Doc Merged @ Wed Feb 25 2015 05:28:00 GMT-0500 (EST)</t>
  </si>
  <si>
    <t>3D plasma response data for MHD and transport code validations</t>
  </si>
  <si>
    <t>Todd</t>
  </si>
  <si>
    <t>Evans</t>
  </si>
  <si>
    <t>evans@fusion.gat.com</t>
  </si>
  <si>
    <t>N. Ferraro, G. Canal,J-K. Park, J-W. Ahn, S. Sabbagh, O. Schmitz and H. Frerichs</t>
  </si>
  <si>
    <t>Validated MHD and kinetic/fluid transport models in numerical codes such as IPEC, M3D-C1, XGC and EMC3-Eirene are essential for designing advanced 3D field perturbation coil such as the NCC for NSTX-U. This experiment is proposed in order to acquire data that can be used to validate the physics models in these codes. The plan for the experiment is to run LSN L-mode and H-mode plasmas while applying n=1,2 and 3 perturbation fields from the external equatorial plane EFCC/RWM coil. For n=1 and 2 we will use the 6 SPAs to change the toroidal phase and acquire magnetic, kinetic profile, fluctuation and SOL/divertor data. For n=3 perturbation fields we will do 50Hz 60º phase flips. These will be done on a shot-by-shot basis with priority given to the n=3 and n=2 variations. A key parameter for validating the plasma response physics is the plasma rotation. Once we have acquired high rotation H-mode data we will attempt to reduce the toroidal and poloidal rotation by reducing the NBI acceleration voltage. As the NBI power and torque are reduced we expect to find a point where the discharge remains in an L-mode. Several EFCC/RWM coil configurations will be used during these L-mode discharges in order to document the L- versus H-mode plasma response to the 3D perturbation fields.</t>
  </si>
  <si>
    <t>Key diagnostics are: calibrated high-n array magnetics (compensated for n=1,2 and 3 EFCC/RWM fields), toroidal array of Bp and Br, plasma TV, divertor IR and CCD, target Langmuir probes, toroidal and poloidal CHERS, edge recycling and impurity, MSE, BES, Thomson scattering, reflectometry, line density, edge SXR array, edge doppler spectroscopy, toroidal bolometer array,  quadrature reflectometer, shunt tile array (set for high gain), visible continuum sensor.</t>
  </si>
  <si>
    <t>0B5-iztf28QNJYmJZTV9ybnFoNDA</t>
  </si>
  <si>
    <t>https://docs.google.com/open?id=0B5-iztf28QNJYmJZTV9ybnFoNDA</t>
  </si>
  <si>
    <t>Doc Created @ Tue Feb 10 2015 17:35:38 GMT-0500 (EST); Doc Merged @ Tue Feb 10 2015 17:35:39 GMT-0500 (EST); Email Sent @ Tue Feb 10 2015 17:35:44 GMT-0500 (EST)(evans@fusion.gat.com,nstx-u@pppl.gov)</t>
  </si>
  <si>
    <t>0B5-iztf28QNJZmNPZzhNVUgydGc</t>
  </si>
  <si>
    <t>https://docs.google.com/open?id=0B5-iztf28QNJZmNPZzhNVUgydGc</t>
  </si>
  <si>
    <t>Doc Created @ Wed Feb 25 2015 05:28:09 GMT-0500 (EST); Doc Merged @ Wed Feb 25 2015 05:28:10 GMT-0500 (EST)</t>
  </si>
  <si>
    <t>X-point Control</t>
  </si>
  <si>
    <t>Egemen</t>
  </si>
  <si>
    <t>Kolemen</t>
  </si>
  <si>
    <t>ekolemen@princeton.edu</t>
  </si>
  <si>
    <t>Pat Vail</t>
  </si>
  <si>
    <t>Essential step toward the implementation of full plasma control capabilities on the NSTX-U machine</t>
  </si>
  <si>
    <t xml:space="preserve">This experiment will test the functionality of controlling the locations of the upper and lower x-points using the upgraded set of poloidal field coils. Verification of acceptable x-point control is an essential first step toward implementing full plasma shape control  capabilities such as advanced magnetic divertor geometries (snowflake divertor). </t>
  </si>
  <si>
    <t xml:space="preserve">Relay feedback control was used in NSTX for control tuning. We may have to bring that online before setting running this experiment. That might need some testing. </t>
  </si>
  <si>
    <t>0B5-iztf28QNJRTAwbE9JNUpwWVk</t>
  </si>
  <si>
    <t>https://docs.google.com/open?id=0B5-iztf28QNJRTAwbE9JNUpwWVk</t>
  </si>
  <si>
    <t>Doc Created @ Tue Feb 10 2015 17:35:47 GMT-0500 (EST); Doc Merged @ Tue Feb 10 2015 17:35:48 GMT-0500 (EST); Email Sent @ Tue Feb 10 2015 17:35:53 GMT-0500 (EST)(ekolemen@princeton.edu,nstx-u@pppl.gov)</t>
  </si>
  <si>
    <t>0B5-iztf28QNJUWVNb0kycHJMQUk</t>
  </si>
  <si>
    <t>https://docs.google.com/open?id=0B5-iztf28QNJUWVNb0kycHJMQUk</t>
  </si>
  <si>
    <t>Doc Created @ Wed Feb 25 2015 05:28:20 GMT-0500 (EST); Doc Merged @ Wed Feb 25 2015 05:28:21 GMT-0500 (EST)</t>
  </si>
  <si>
    <t>Snowflake Control</t>
  </si>
  <si>
    <t>Having Snowflake ready in the first two years</t>
  </si>
  <si>
    <t xml:space="preserve">NSTX-U is designed to work with a double snowflake divertor in order to handle the high flux we expect to get. This XMP will be the first checkout of the snowflake identification and control. We do not promise a fully functioning control from the get go. </t>
  </si>
  <si>
    <t>rt-efit</t>
  </si>
  <si>
    <t>0B5-iztf28QNJM21naWJVWFhHMVk</t>
  </si>
  <si>
    <t>https://docs.google.com/open?id=0B5-iztf28QNJM21naWJVWFhHMVk</t>
  </si>
  <si>
    <t>Doc Created @ Tue Feb 10 2015 17:35:55 GMT-0500 (EST); Doc Merged @ Tue Feb 10 2015 17:35:56 GMT-0500 (EST); Email Sent @ Tue Feb 10 2015 17:36:01 GMT-0500 (EST)(ekolemen@princeton.edu,nstx-u@pppl.gov)</t>
  </si>
  <si>
    <t>0B5-iztf28QNJQnYyN05QQUZ4ZTA</t>
  </si>
  <si>
    <t>https://docs.google.com/open?id=0B5-iztf28QNJQnYyN05QQUZ4ZTA</t>
  </si>
  <si>
    <t>Doc Created @ Wed Feb 25 2015 05:28:30 GMT-0500 (EST); Doc Merged @ Wed Feb 25 2015 05:28:30 GMT-0500 (EST)</t>
  </si>
  <si>
    <t>Checkout real-time diagnostic connections into PCS</t>
  </si>
  <si>
    <t xml:space="preserve">Ahmed Diallo </t>
  </si>
  <si>
    <t>NSTX-U Milestone: Density Control (specially pedestal), all the boundary/divertor control listed</t>
  </si>
  <si>
    <t>There a list of diagnostics we want to connect to PCS for real-time control. The magnetics connections are being taken care of. Below are the ones that are currently not connected yet:
1. MSE - Howard
2. CHERS (rotation) - Mario
3. Thomson - Ahmed/Ben
4. Lithium pellet injector (slapper) - Dennis and the new postdoc
5. Bolometer channels -Luis
6. LNLL's new Divertor diagnostics
We want to connect these to PCS. This XMP includes many sub XMPs where we test the connections and check out that we are getting the correct data into PCS within the specified delays.
While it is possible to check some of these out in piggy back. Some will need specific plasma perturbations to make sure the data we are getting make sense (rotation needs RMP braking data). 
We do not expect that all these connections will be ready to test but for the ones that are ready we need testing time.</t>
  </si>
  <si>
    <t xml:space="preserve"> </t>
  </si>
  <si>
    <t>0B5-iztf28QNJdmM5MkxIcGtKU3M</t>
  </si>
  <si>
    <t>https://docs.google.com/open?id=0B5-iztf28QNJdmM5MkxIcGtKU3M</t>
  </si>
  <si>
    <t>Doc Created @ Tue Feb 10 2015 17:36:07 GMT-0500 (EST); Doc Merged @ Tue Feb 10 2015 17:36:08 GMT-0500 (EST); Email Sent @ Tue Feb 10 2015 17:36:12 GMT-0500 (EST)(ekolemen@princeton.edu,nstx-u@pppl.gov)</t>
  </si>
  <si>
    <t>0B5-iztf28QNJZXlRR3ppcjNiMkE</t>
  </si>
  <si>
    <t>https://docs.google.com/open?id=0B5-iztf28QNJZXlRR3ppcjNiMkE</t>
  </si>
  <si>
    <t>Doc Created @ Wed Feb 25 2015 05:28:40 GMT-0500 (EST); Doc Merged @ Wed Feb 25 2015 05:28:40 GMT-0500 (EST)</t>
  </si>
  <si>
    <t>Parametric dependence of TAE avalanches</t>
  </si>
  <si>
    <t>Eric</t>
  </si>
  <si>
    <t>Fredrickson</t>
  </si>
  <si>
    <t>efredrickson@pppl.gov</t>
  </si>
  <si>
    <t>Mario Podesta, Neal Crocker, Deyong Liu, Douglass Darrow</t>
  </si>
  <si>
    <t>Energetic Particles (EP)</t>
  </si>
  <si>
    <t>The goal of this experiment is to extend the existing data set on TAE avalanches to both higher toroidal field and higher beta, as well as to investigate the dependence on neutral beam tangency radius.  TAE avalanches appear to be rare in conventional aspect ratio tokamaks, which generally operate at higher fields than NSTX for similar density.  With the extension of the toroidal field to 7 kG, it might be possible to see some effect on the scaling with toroidal field that could be extrapolated to the conventional aspect ratio parameter range.  As part of this experiment, I would also like to revisit the high beta regime explored by NSTX in the early years of operation.   That would mean operation at toroidal field strength of  2 or 2.5 kG, and &gt;1.2 MA of plasma current.  In those original experiments, avalanche-like TAE bursts were seen.  It would be valuable to document those modes with the more complete diagnostic set on NSTX-U.  Additionally, those plasmas had fairly unique high frequency Alfvén wave activity.</t>
  </si>
  <si>
    <t>This experiment would benefit from reliable operation which probably implies a need for lithium wall conditioning.</t>
  </si>
  <si>
    <t>0B5-iztf28QNJR1FyLThWMlZHV28</t>
  </si>
  <si>
    <t>https://docs.google.com/open?id=0B5-iztf28QNJR1FyLThWMlZHV28</t>
  </si>
  <si>
    <t>Doc Created @ Tue Feb 10 2015 17:36:15 GMT-0500 (EST); Doc Merged @ Tue Feb 10 2015 17:36:15 GMT-0500 (EST); Email Sent @ Tue Feb 10 2015 17:36:20 GMT-0500 (EST)(efredrickson@pppl.gov,nstx-u@pppl.gov)</t>
  </si>
  <si>
    <t>0B5-iztf28QNJbW9vRkJLaWdGSTg</t>
  </si>
  <si>
    <t>https://docs.google.com/open?id=0B5-iztf28QNJbW9vRkJLaWdGSTg</t>
  </si>
  <si>
    <t>Doc Created @ Wed Feb 25 2015 05:28:49 GMT-0500 (EST); Doc Merged @ Wed Feb 25 2015 05:28:50 GMT-0500 (EST)</t>
  </si>
  <si>
    <t>Measurement of Neutral beam driven current</t>
  </si>
  <si>
    <t>Assess neutral beam driven current from second neutral beam.  We propose to document the operating space of the NB driven current profiles from each source and in combination with the MSE-CIF diagnostic for various plasma currents and toroidal fields.  This can be compared to predictions from TRANSP.  Another part of this study will be to measure the effect of MHD on the fast ion driven current profile.  The shot plan will be to to vary the combination of neutral beam sources, plasma current and toroidal field.</t>
  </si>
  <si>
    <t>The MSE-CIF XMP to access the interference from the new neutral beams sources should be run before this XP.  An Er correction will likely be necessary.  Additional shots will probably be needed to obtain toroidal rotation profiles.</t>
  </si>
  <si>
    <t>0B5-iztf28QNJY1pvbW5WNmZyem8</t>
  </si>
  <si>
    <t>https://docs.google.com/open?id=0B5-iztf28QNJY1pvbW5WNmZyem8</t>
  </si>
  <si>
    <t>Doc Created @ Tue Feb 10 2015 17:36:27 GMT-0500 (EST); Doc Merged @ Tue Feb 10 2015 17:36:27 GMT-0500 (EST); Email Sent @ Tue Feb 10 2015 17:36:31 GMT-0500 (EST)(flevinton@novaphotonics.com,nstx-u@pppl.gov)</t>
  </si>
  <si>
    <t>0B5-iztf28QNJZWUzdTVOc2ZRYzA</t>
  </si>
  <si>
    <t>https://docs.google.com/open?id=0B5-iztf28QNJZWUzdTVOc2ZRYzA</t>
  </si>
  <si>
    <t>Doc Created @ Wed Feb 25 2015 05:29:00 GMT-0500 (EST); Doc Merged @ Wed Feb 25 2015 05:29:00 GMT-0500 (EST)</t>
  </si>
  <si>
    <t>Scaling of HHFW suppression of Alfvénic waves</t>
  </si>
  <si>
    <t>Mario Podesta, Neal Crocker, Deyong Liu, Nicola Bertelli, Gary Taylor, Joel Hosea, Douglass Darrow</t>
  </si>
  <si>
    <t>Previous experiments on NSTX have found examples where ≈2 MW of heating with HHFW resulted in suppression of TAE and higher frequency GAE and CAE activity with 2 MW of neutral beam heating.  The clearest examples were low current, 300 kA, helium target plasmas.  The potential of using HHFW to suppress TAE could be very attractive for ITER, or a next-step ST device.  The mechanism for suppression is presently not understood.  The first part of the experiment would be to reproduce the original conditions with a more complete diagnostic set.  When the experimental conditions are reproduced, then extend parameters to higher beam powers and higher plasma current.  The new FIDA and ssNPA diagnostics, as well potentially as the lost fusion products diagnostic, will provide invaluable information on the affect of the HHFW on the fast ion population.  The experiment will require reliable HHFW heating, thus should be scheduled before any unintended vacuum vessel venting, post lithium conditioning.</t>
  </si>
  <si>
    <t>Requires reliable HHFW heating.  Would strongly benefit from new confined fast ion diagnostics.</t>
  </si>
  <si>
    <t>0B5-iztf28QNJX1RTaGpmZ1lZbGM</t>
  </si>
  <si>
    <t>https://docs.google.com/open?id=0B5-iztf28QNJX1RTaGpmZ1lZbGM</t>
  </si>
  <si>
    <t>Doc Created @ Tue Feb 10 2015 17:36:34 GMT-0500 (EST); Doc Merged @ Tue Feb 10 2015 17:36:35 GMT-0500 (EST); Email Sent @ Tue Feb 10 2015 17:36:39 GMT-0500 (EST)(efredrickson@pppl.gov,nstx-u@pppl.gov)</t>
  </si>
  <si>
    <t>0B5-iztf28QNJMlNDcDV4NksyaXc</t>
  </si>
  <si>
    <t>https://docs.google.com/open?id=0B5-iztf28QNJMlNDcDV4NksyaXc</t>
  </si>
  <si>
    <t>Doc Created @ Wed Feb 25 2015 05:29:09 GMT-0500 (EST); Doc Merged @ Wed Feb 25 2015 05:29:10 GMT-0500 (EST)</t>
  </si>
  <si>
    <t>Affect of HHFW rotation control on TAE activity</t>
  </si>
  <si>
    <t>Nicola Bertelli, Gary Taylor, Joel Hosea, Mario Podesta, Deyong Liu, Neal Crocker</t>
  </si>
  <si>
    <t>The strong rotation of NSTX plasmas during beam injection affected the TAE continuum profiles, and thus the strength of the interaction of TAE with the continuum.  Previous experimental attempts to study the affect of this rotation on TAE by using error field braking led to ambiguous results; the error field braking also resulted in degraded plasma performance.  It has been noted that HHFW can also affect plasma rotation at power levels where HHFW has a small affect on equilibrium plasma parameters.  It is proposed here to develop HHFW as rotation control tool, and use HHFW to explore the dependence of TAE activity on strong sheared plasma rotation.  In particular, there is some suggestion that suppressing rotation may also suppress TAE activity.</t>
  </si>
  <si>
    <t>Reliable HHFW heating would be desirable.</t>
  </si>
  <si>
    <t>0B5-iztf28QNJbXpVQnA1cHhKdUE</t>
  </si>
  <si>
    <t>https://docs.google.com/open?id=0B5-iztf28QNJbXpVQnA1cHhKdUE</t>
  </si>
  <si>
    <t>Doc Created @ Tue Feb 10 2015 17:36:42 GMT-0500 (EST); Doc Merged @ Tue Feb 10 2015 17:36:43 GMT-0500 (EST); Email Sent @ Tue Feb 10 2015 17:36:48 GMT-0500 (EST)(efredrickson@pppl.gov,nstx-u@pppl.gov)</t>
  </si>
  <si>
    <t>0B5-iztf28QNJRnE4dk04RmI0Q3M</t>
  </si>
  <si>
    <t>https://docs.google.com/open?id=0B5-iztf28QNJRnE4dk04RmI0Q3M</t>
  </si>
  <si>
    <t>Doc Created @ Wed Feb 25 2015 05:29:19 GMT-0500 (EST); Doc Merged @ Wed Feb 25 2015 05:29:20 GMT-0500 (EST)</t>
  </si>
  <si>
    <t>Initial TAE excitation with antenna</t>
  </si>
  <si>
    <t>Mario Podesta</t>
  </si>
  <si>
    <t>Excitation of otherwise stable TAE with an external antenna is a proven approach to directly measure the natural damping rate for TAE.  The additional of an antenna dedicated to the Alfvén frequency range on NSTX opens the possibility for the first direct measurements of TAE damping rates in an ST plasma.  Sorting out the TAE excited by an antenna in the presence of the typical strong band of TAE activity would be difficult, so TAE-quiescent regimes are desired.  Two operational regimes on NSTX are suggested by the absence, or near absence, of TAE activity.  The first would be the study of TAE damping in ohmic plasmas.  While perhaps not obviously relevant, this would non-the-less provide a valuable benchmark for the NOVA-k code.  The second regime, if it can be duplicated on NSTX-U, would be the so-called ‘quiescent’ regime seen even in high beam power NSTX plasmas.  The ohmic experiments would probably require dedicated run-time.  Potentially the beam-heated, quiescent plasmas could be studied in a piggy-back fashion.  Most likely, the ohmic experiments should be done first as these would likely have the lowest ‘background noise’ problems.</t>
  </si>
  <si>
    <t>The AR amplifier would need to be installed in the test cell, a D-A module or other suitable excitation source for the amplifier would need to be set up and the requisite connections be made.  With RF/engineering/technician support, this could be done this year.</t>
  </si>
  <si>
    <t>0B5-iztf28QNJQ251V2tVYUQ5RlU</t>
  </si>
  <si>
    <t>https://docs.google.com/open?id=0B5-iztf28QNJQ251V2tVYUQ5RlU</t>
  </si>
  <si>
    <t>Doc Created @ Tue Feb 10 2015 17:36:51 GMT-0500 (EST); Doc Merged @ Tue Feb 10 2015 17:36:51 GMT-0500 (EST); Email Sent @ Tue Feb 10 2015 17:36:56 GMT-0500 (EST)(efredrickson@pppl.gov,nstx-u@pppl.gov)</t>
  </si>
  <si>
    <t>0B5-iztf28QNJbUN2R1lRS1p2NGM</t>
  </si>
  <si>
    <t>https://docs.google.com/open?id=0B5-iztf28QNJbUN2R1lRS1p2NGM</t>
  </si>
  <si>
    <t>Doc Created @ Wed Feb 25 2015 05:29:29 GMT-0500 (EST); Doc Merged @ Wed Feb 25 2015 05:29:30 GMT-0500 (EST)</t>
  </si>
  <si>
    <t>HHFW Heating of CHI-Only Discharges</t>
  </si>
  <si>
    <t>Gary</t>
  </si>
  <si>
    <t>Taylor</t>
  </si>
  <si>
    <t>gtaylor@pppl.gov</t>
  </si>
  <si>
    <t>N. Bertelli, J.B. Caughman, S. Gerhardt, J.C. Hosea, B.P. LeBlanc, D. Mueller, B.A. Nelson, R. J. Perkins, F. Poli, R. Raman, J. R. Wilson</t>
  </si>
  <si>
    <t>Solenoid-free Start-up and Ramp-up (SR)</t>
  </si>
  <si>
    <t>IR(15-2): “Establish Coaxial Helicity Injection start-up and perform initial tests of Neutral Beam Injection current ramp-up in inductively generated plasmas”</t>
  </si>
  <si>
    <t>In NSTX-U the peak plasma current reached in CHI-only discharges is expected to be at least 400 kA. However the plasma current in these CHI-only discharges typically decays in about 30 ms due to the low electron temperature. RF heating can be used to mitigate this plasma current decay by rapidly heating the plasma. This experiment aims to heat CHI-only discharges with 20 ms pulses of at least 1 MW of HHFW power. It will be run immediately following experiments to establish CHI-only discharges in NSTX-U. The experiment will assess the effectiveness of HHFW heating to increase Te and the current persistence time. It will also study changes in the density profile, oxygen and carbon impurity levels when HHFW power is coupled to a CHI-only discharge. While CHI-only discharges can be reproducible there is no position control system that can tailor the gap between the CHI plasma and the HHFW antenna, this will present a significant challenge for achieving and maintaining efficient HHFW coupling. Also, because the CHI plasma is relatively cold the fast waves will make many passes through the plasma before being absorbed. Since the HHFW power will be coupled into a very low density plasma HHFW antenna tuning will be set to close to vacuum loading settings on the stubs and stretchers. HHFW antenna phasing should be set to launch a low kf in order to start the perpendicular propagation of the fast wave at a low density, reducing the width of the evanescent region between the antenna and the CHI plasma. This experiment will start with launches kφ = -8 m-1 (Δφ = 90o) HHFW heating using stub and stretcher settings from NSTX shot 129612. It will then use Δφ = -60o antenna phasing which launches a combination of kφ = -8 m-1 and 
kφ = -3 m-1. The kφ = -8 m-1 power will heat the plasma increasing absorption of the kφ = -3 m-1 power closer to the antenna. A Δφ = 180o phasing may be tried if the edge density measured by Thomson scattering is &gt; 5x1017m-3.
</t>
  </si>
  <si>
    <t>This experiment should follow the HHFW plasma conditioning XMP and should be run immediately following experiments to establish CHI-only discharges in NSTX-U. Thomson scattering Te and ne are required for core and edge electron heating data. For analysis of edge power loss and coupling efficiency, the experiment requires SOL reflectometry and edge ion heating data from the edge rotation diagnostic. Visible and IR camera imaging of the antenna and lower divertor are also required.</t>
  </si>
  <si>
    <t>0B5-iztf28QNJaUhkbVdMNHB6OE0</t>
  </si>
  <si>
    <t>https://docs.google.com/open?id=0B5-iztf28QNJaUhkbVdMNHB6OE0</t>
  </si>
  <si>
    <t>Doc Created @ Tue Feb 10 2015 17:37:00 GMT-0500 (EST); Doc Merged @ Tue Feb 10 2015 17:37:00 GMT-0500 (EST); Email Sent @ Tue Feb 10 2015 17:37:06 GMT-0500 (EST)(gtaylor@pppl.gov,nstx-u@pppl.gov)</t>
  </si>
  <si>
    <t>0B5-iztf28QNJSEtQdndUa3g3M1U</t>
  </si>
  <si>
    <t>https://docs.google.com/open?id=0B5-iztf28QNJSEtQdndUa3g3M1U</t>
  </si>
  <si>
    <t>Doc Created @ Wed Feb 25 2015 05:29:39 GMT-0500 (EST); Doc Merged @ Wed Feb 25 2015 05:29:40 GMT-0500 (EST)</t>
  </si>
  <si>
    <t>Low Plasma Current, Fully Non-Inductive, HHFW H-Mode Plasmas</t>
  </si>
  <si>
    <t>N. Bertelli, J.B. Caughman, S. Gerhardt, J.C. Hosea, B.P. LeBlanc, D. Mueller, R. J. Perkins, F. Poli,  R. Raman,  J. R. Wilson</t>
  </si>
  <si>
    <t xml:space="preserve">HHFW heating and current drive may enable fully non-inductive plasma current (Ip) ramp-up in NSTX. The initial approach to achieving this goal has been to heat low Ip (250 - 350 kA) inductive plasmas with HHFW power in order to generate an H-mode with significant bootstrap and RF-driven current. In 2010 XP-1009 used 1.4 MW of kφ = -8 m-1 HHFW power to generate and sustain an H-mode and achieving a non inductive fraction, fNI ~ 0.65. This positive result was the consequence of better plasma control, improved RF coupling due to Li conditioning, a high Te(0) ~ 3 keV, and a relatively high RF current drive efficiency ~ 0.1 MA/MW. However, the RF antenna was poorly conditioned during XP-1009 and the maximum arc-free HHFW power was only ~ 1.4 MW, insufficient to achieve an fNI ≥ 1 at Ip ~ 300 kA. This experiment aims to achieve fNI ≥ 1 by coupling 3-4 MW of RF power into an Ip ~ 300 kA plasma. The proposed experiment should benefit from the improved FW coupling at the higher BT(0) achievable on NSTX-U and from recent modifications to the HHFW antenna grounding that significantly improved antenna stand off voltage during vacuum conditioning. The plan is to start with a discharge similar to the best HHFW-heated Ip = 300 kA plasma from XP-1009 (shot 138506) using kφ  = -8 m-1 HHFW power. The toroidal magnetic field, BT(0) would be increased from 0.55 T to ~ 0.65 T. The HHFW heating pulse will be started as early as possible in order to maintain the HHFW heating for at least a current relaxation time (~ 200 ms). Once significant HHFW power is reliably coupled into the plasma, the q(R) and Ti evolution will be documented with source A beam blips stepped through the discharge. q(R) will also be measured with the MSE-LIF, if available. If it proves difficult to control the Ip = 300 kA discharge at high HHFW powers, Ip will be increased to ~ 350 kA. If reproducible Ip ~ 300 kA discharges with significant (3-4 MW) HHFW power can be produced, Ip will be reduced to ~ 250 kA. </t>
  </si>
  <si>
    <t>Stable plasma operation at Ip = 250-350 kA, with reproducible outer gap = 0.05 – 0.1 m. Request D. Mueller as operator. For analysis of edge power loss and coupling efficiency the experiment requires SOL reflectometry and edge ion heating data from edge rotation diagnostic. Visible and IR camera imaging of the antenna and lower divertor are also required.</t>
  </si>
  <si>
    <t>0B5-iztf28QNJTm0tRkFNN21UU0U</t>
  </si>
  <si>
    <t>https://docs.google.com/open?id=0B5-iztf28QNJTm0tRkFNN21UU0U</t>
  </si>
  <si>
    <t>Doc Created @ Tue Feb 10 2015 17:37:09 GMT-0500 (EST); Doc Merged @ Tue Feb 10 2015 17:37:09 GMT-0500 (EST); Email Sent @ Tue Feb 10 2015 17:37:13 GMT-0500 (EST)(gtaylor@pppl.gov,nstx-u@pppl.gov)</t>
  </si>
  <si>
    <t>0B5-iztf28QNJd3B5UUlNM2hfUGM</t>
  </si>
  <si>
    <t>https://docs.google.com/open?id=0B5-iztf28QNJd3B5UUlNM2hfUGM</t>
  </si>
  <si>
    <t>Doc Created @ Wed Feb 25 2015 05:29:50 GMT-0500 (EST); Doc Merged @ Wed Feb 25 2015 05:29:51 GMT-0500 (EST)</t>
  </si>
  <si>
    <t>HHFW Ramp-up of Inductively Initiated Plasma from 250 to 400 kA</t>
  </si>
  <si>
    <t>N. Bertelli, J.B. Caughman, S. Diem, S. Gerhardt, J.C. Hosea, C. Lau, B.P. LeBlanc, D. Mueller, B.A. Nelson, R. J. Perkins, F. Poli, R. Raman, J. R. Wilson</t>
  </si>
  <si>
    <t>In this experiment an Ip ~ 250 kA inductive plasma is heated with HHFW power in order to generate an 
H-mode with significant bootstrap and RF-driven current to ramp Ip to ~ 400 kA. This experiment requires clamping the OH coil current, instead of feeding back on Ip. HHFW coupling is expected to improve at the higher BT(0) available on NSTX-U, so operation at BT(0) &gt; 0.65 T is requested for this experiment. Shots without HHFW power will therefore have decaying Ip and when RF power is applied Ip will ramp-up, be sustained or decay more slowly depending on the amount of RF current drive and bootstrap current generated by HHFW heating. It may be necessary to run some ohmic discharges with Ip feedback on to gain an estimate of the OH current needed to minimize plasma motion at low Ip. The run plan is as follows: (1) Setup an ohmically-heated Ip = 300 kA deuterium discharge, and then add kφ = -8 m-1 HHFW power, coupled from 150 to 450 ms, with a 50 ms ramp-up in power at the start of the RF pulse. A 50 ms beam pulse for MSE and CHERS will be injected from 430 to 480 ms. The HHFW power will be increased to 
3-4 MW, while adjusting the lithium evaporation, gas injection and the outer gap to optimize HHFW heating efficiency. When reproducible plasmas have been obtained a second 20 ms beam blip will be scanned from 400 ms to 250 ms over a sequence of 4 shots to acquire the time evolution of q(R) and Ti. RF power will be increased above 4 MW if more power is available. (2) Reduce Ip to 250 kA and apply 
3-4 MW of kφ = -8 m-1 HHFW power. Optimize HHFW heating efficiency and measure q(r) and Ti as in step (1). (3) Adjust RF pulse to start as soon as Ip reaches the flattop value. Then use open loop OH programming to provide no ohmic drive after plasma current reaches the minimum value (&lt; 200 kA at approximately 25 ms). 
</t>
  </si>
  <si>
    <t>rtEFIT isoflux control for outer gap, and lithium deposition to maintain good RF coupling. 90 keV NBI blip from source A for MSE q(r) and CHERS Ti data. 20 ms 90 keV NBI blip from source A will be scanned through the RF pulse once reproducible RF heating has been established. For analysis of edge power loss and coupling efficiency require SOL reflectometry and edge ion heating data from edge rotation diagnostic. Visible and IR camera imaging of the antenna and lower divertor.</t>
  </si>
  <si>
    <t>0B5-iztf28QNJMlpSdnRFMlk2d3c</t>
  </si>
  <si>
    <t>https://docs.google.com/open?id=0B5-iztf28QNJMlpSdnRFMlk2d3c</t>
  </si>
  <si>
    <t>Doc Created @ Tue Feb 10 2015 17:37:16 GMT-0500 (EST); Doc Merged @ Tue Feb 10 2015 17:37:17 GMT-0500 (EST); Email Sent @ Tue Feb 10 2015 17:37:22 GMT-0500 (EST)(gtaylor@pppl.gov,nstx-u@pppl.gov)</t>
  </si>
  <si>
    <t>0B5-iztf28QNJM183VXcxOTZMd1k</t>
  </si>
  <si>
    <t>https://docs.google.com/open?id=0B5-iztf28QNJM183VXcxOTZMd1k</t>
  </si>
  <si>
    <t>Doc Created @ Wed Feb 25 2015 05:30:09 GMT-0500 (EST); Doc Merged @ Wed Feb 25 2015 05:30:10 GMT-0500 (EST)</t>
  </si>
  <si>
    <t>ENDD Midplane Neutral Density Profiles in NSTX-U</t>
  </si>
  <si>
    <t>Daren</t>
  </si>
  <si>
    <t>Stotler</t>
  </si>
  <si>
    <t>dstotler@pppl.gov</t>
  </si>
  <si>
    <t>Filippo Scotti</t>
  </si>
  <si>
    <t>Divertor and Scrape-off-layer (DS)</t>
  </si>
  <si>
    <t>NSTX-U R(15-1)</t>
  </si>
  <si>
    <t>Midplane neutral densities are needed to determine CX losses of neutral beam ions, to quantify fluxes of energetic charge exchange atoms to the wall, and in the interpretation of diagnostics like CHERS.  These data are also useful in understanding the H-mode pedestal and edge plasma turbulence.  A simulation-based technique for inferring midplane deuterium (atomic and molecular) profiles from ENDD data was developed and applied to a variety of 2010 shots.  Interest has been expressed, particularly for assessing CX loss of beam ions, in a more routine use of this method on NSTX-U.  Two related questions must be addressed to facilitate such applications.  First, how do the neutral densities obtained with the current ENDD view across the neutral beam armor compare with those collected in 2010?  Second, how much does the midplane neutral density vary toroidally?  E.g., what do the ENDD data tell us about the toroidally distant densities in front of the NBI ports?  This XP will target the first question by reproducing as closely as possible one or more of the previously studied 2010 discharges (from XP1029, in particular) to see how the neutral density profiles compare.  Since the ENDD now looks across the path of the neutral beams, their effects on the neutral density profiles must be assessed explicitly, e.g., via beam notching and other specified timing.   Data collected from other XPs will be examined and incorporated into a database that can be compared with that from 2010.  The sum of these results, combined with other data and modeling, will provide some insight into the second question on toroidal variation.  The method used to infer neutral density profiles from the ENDD images will benefit from higher spatial resolution Thomson scattering and other diagnostic improvements.</t>
  </si>
  <si>
    <t>ENDD with D-beta filter, Thomson scattering (edge and into the SOL), CHERS ion temperature and density, midplane micro-ion gauge pressures, EFIT equilibria.
</t>
  </si>
  <si>
    <t>0B5-iztf28QNJREVTV1VWeU1OWG8</t>
  </si>
  <si>
    <t>https://docs.google.com/open?id=0B5-iztf28QNJREVTV1VWeU1OWG8</t>
  </si>
  <si>
    <t>Doc Created @ Tue Feb 10 2015 17:37:25 GMT-0500 (EST); Doc Merged @ Tue Feb 10 2015 17:37:26 GMT-0500 (EST); Email Sent @ Tue Feb 10 2015 17:37:31 GMT-0500 (EST)(dstotler@pppl.gov,nstx-u@pppl.gov)</t>
  </si>
  <si>
    <t>0B5-iztf28QNJM2pKc0xhMHZlSEU</t>
  </si>
  <si>
    <t>https://docs.google.com/open?id=0B5-iztf28QNJM2pKc0xhMHZlSEU</t>
  </si>
  <si>
    <t>Doc Created @ Wed Feb 25 2015 05:30:19 GMT-0500 (EST); Doc Merged @ Wed Feb 25 2015 05:30:19 GMT-0500 (EST)</t>
  </si>
  <si>
    <t>Optimize gas fueling for low density startup and H-mode access</t>
  </si>
  <si>
    <t>Rajesh Maingi, Stan Kaye, Stefan Gerhardt</t>
  </si>
  <si>
    <t>Particle Control Task Force (PC)</t>
  </si>
  <si>
    <t>An earlier commissioning XMP will establish a fueling scenario for ramp up and reliable H-mode access using the NSTX recipe as a starting point.  This XP will investigate the limits for low density startup and reliable H-mode access using different mixes and timings of HFS and LFS gas valves. One goal is to access the impact early fueling has on the eventual density rise (and saturation?) in H-mode.  Another goal is to document the dependence of H-mode access on fueling location using the new HFS gas valve capabilities. It would also be desirable to evaluate the utility of the SGI toward these goals.</t>
  </si>
  <si>
    <t xml:space="preserve">It would be interesting to perform this experiment with both boron and lithium wall coatings to provide a mechanism to vary the recycling properties.  This experiment requires good wall conditions for reproducible shots and enough beam power to get H-mode. Long shots to evaluate density rise and saturation are preferred. </t>
  </si>
  <si>
    <t>0B5-iztf28QNJMlVDMi1LaTA5OGM</t>
  </si>
  <si>
    <t>https://docs.google.com/open?id=0B5-iztf28QNJMlVDMi1LaTA5OGM</t>
  </si>
  <si>
    <t>Doc Created @ Tue Feb 10 2015 17:37:34 GMT-0500 (EST); Doc Merged @ Tue Feb 10 2015 17:37:35 GMT-0500 (EST); Email Sent @ Tue Feb 10 2015 17:37:39 GMT-0500 (EST)(dbattagl@pppl.gov,nstx-u@pppl.gov)</t>
  </si>
  <si>
    <t>0B5-iztf28QNJa1g0dHJ6YlBfSXM</t>
  </si>
  <si>
    <t>https://docs.google.com/open?id=0B5-iztf28QNJa1g0dHJ6YlBfSXM</t>
  </si>
  <si>
    <t>Doc Created @ Wed Feb 25 2015 05:30:29 GMT-0500 (EST); Doc Merged @ Wed Feb 25 2015 05:30:29 GMT-0500 (EST)</t>
  </si>
  <si>
    <t>Controlled introduction of Lithium into NSTX-U</t>
  </si>
  <si>
    <t>Rajesh</t>
  </si>
  <si>
    <t>Maingi</t>
  </si>
  <si>
    <t>rmaingi@pppl.gov</t>
  </si>
  <si>
    <t>Reps from several TSGs TBD</t>
  </si>
  <si>
    <t xml:space="preserve">Goal and importance: introduce Lithium into NSTX-U in a controlled manner, to compare with well-characterized discharges with boronization. The idea is to determine if progressively higher amounts of lithium pre-discharge evaporation will lead to progressively larger impacts on the SOL/divertor, pedestal, and core. 
Plan: starting with boronized discharges and inter-shot HeGDC, introduce Li via evaporation (or possibly with LGI?) at modest rates, and gradually increase those rates until ELM suppression is observed. </t>
  </si>
  <si>
    <t>Good boronized baseline condition, availability of Li evaporators, and good profile and some fluctuation diagnostics.</t>
  </si>
  <si>
    <t>0B5-iztf28QNJOVRWMHFPSDVCLTA</t>
  </si>
  <si>
    <t>https://docs.google.com/open?id=0B5-iztf28QNJOVRWMHFPSDVCLTA</t>
  </si>
  <si>
    <t>Doc Created @ Tue Feb 10 2015 17:37:41 GMT-0500 (EST); Doc Merged @ Tue Feb 10 2015 17:37:42 GMT-0500 (EST); Email Sent @ Tue Feb 10 2015 17:37:47 GMT-0500 (EST)(rmaingi@pppl.gov,nstx-u@pppl.gov)</t>
  </si>
  <si>
    <t>0B5-iztf28QNJakRpb0taakpUdUU</t>
  </si>
  <si>
    <t>https://docs.google.com/open?id=0B5-iztf28QNJakRpb0taakpUdUU</t>
  </si>
  <si>
    <t>Doc Created @ Wed Feb 25 2015 05:30:39 GMT-0500 (EST); Doc Merged @ Wed Feb 25 2015 05:30:40 GMT-0500 (EST)</t>
  </si>
  <si>
    <t>Assess betaN and qmin n=1 tearing stability limits at the increased aspect ratio of NSTX-U</t>
  </si>
  <si>
    <t>FY 2015 Joint Research Target "Conduct experiments and analysis to quantify the impact of broadened current and pressure profiles on tokamak plasma confinement and stability"</t>
  </si>
  <si>
    <t xml:space="preserve"> In general qmin starts high (&gt;1 if not &gt;2) and decays with time; application of NBI wrt to the qmin value induces H-mode and increasing betaN. The goal of this XP is to investigate the role of qmin(betaN) for onset of n=1 tearing (or none or n=1 RWM). This will establish the "sweet spot" for n=1 tearing stable long pulse operation with a desired qmin target for eventual q-profile control. Previous work on DIII-D [1,2] showed that the timing of qmin(t) and betaN(t) allowed such "sweet spots" to be found for either m/n=3/2 tearing [1] or m/n=2/1 tearing [2].
 In addition, some preprogramed NBI step-down in the longer pulse NSTX-U would be desirable to investigate marginal self-stabilization conditions as in XP10 (although a real-time mode detector and change of phase to reduce NBI power would be better).
1] R.J. La Haye, B.W. Rice, E.J. Strait, 
"Increasing the beta limit due to neoclassical tearing modes by raising the axial safety factor q(0)&gt;1” Nuclear Fusion 40, 53 (2000)
[2] C.T. Holcomb, J.R. Ferron, T.C. Luce, T.W. Petrie, J.M. Park, F. Turco, M.A. Van Zeeland, M. Okabayashi, C.T. Lasnier, J.M. Hanson, P.A. Politzter, Y. In, A.W. Hyatt, R.J. La Haye and M.J. Lanctot, “Steady state scenario development with elevated minimum safety factor on DIII-D” Nucl. Fusion 54, 093009 (2014)
</t>
  </si>
  <si>
    <t>Best is to be done after Li evaporation is made routine in order to achieve reproducible conditions. Do not want off-axis NBI for this but would investigate that in a later XP to be coordinated with DIII-D off-axis NBI use. Could be at NSTX-U reduced parameters (1.0MA, 0.5T) or full (2.0MA, 1.0T) or inbetween.</t>
  </si>
  <si>
    <t>0B5-iztf28QNJeWF3a1RYNzFzREE</t>
  </si>
  <si>
    <t>https://docs.google.com/open?id=0B5-iztf28QNJeWF3a1RYNzFzREE</t>
  </si>
  <si>
    <t>Doc Created @ Tue Feb 10 2015 17:43:47 GMT-0500 (EST); Doc Merged @ Tue Feb 10 2015 17:43:48 GMT-0500 (EST); Email Sent @ Tue Feb 10 2015 17:43:52 GMT-0500 (EST)(lahaye@fusion.gat.com,nstx-u@pppl.gov)</t>
  </si>
  <si>
    <t>0B5-iztf28QNJb25YOGtCcmRlWHc</t>
  </si>
  <si>
    <t>https://docs.google.com/open?id=0B5-iztf28QNJb25YOGtCcmRlWHc</t>
  </si>
  <si>
    <t>Doc Created @ Wed Feb 25 2015 05:30:48 GMT-0500 (EST); Doc Merged @ Wed Feb 25 2015 05:30:49 GMT-0500 (EST)</t>
  </si>
  <si>
    <t>NBI overdrive</t>
  </si>
  <si>
    <t>Francesca</t>
  </si>
  <si>
    <t>Poli</t>
  </si>
  <si>
    <t>fpoli@pppl.gov</t>
  </si>
  <si>
    <t>Bertelli, Taylor, Mueller</t>
  </si>
  <si>
    <t>R16-4</t>
  </si>
  <si>
    <t>Inject NBI at low current (300kA) with and without HHFW on inductive target (or CHI + inductive, lower priority) to assess (a) current drive vs beam energy  (b) current profiles and absorption of HHFW on fast ions. These experiments aim at optimizing broad current profiles at startup to minimize ballooning instabilities. Simulations indicate need for broadening of FW current profiles at low current and combination with NB might be the only way. However, fast ions absorption need to be reduced, maybe by modulating the NB or changing the antenna phasing. These experiments will contribute also to model validation of RF codes.</t>
  </si>
  <si>
    <t xml:space="preserve">CHERS with 2nd NBI, MSE, rt-EFIT for Ip~300kA or below, </t>
  </si>
  <si>
    <t>0B5-iztf28QNJTFZYUHRWQXc1RGM</t>
  </si>
  <si>
    <t>https://docs.google.com/open?id=0B5-iztf28QNJTFZYUHRWQXc1RGM</t>
  </si>
  <si>
    <t>Doc Created @ Tue Feb 10 2015 19:52:09 GMT-0500 (EST); Doc Merged @ Tue Feb 10 2015 19:52:10 GMT-0500 (EST); Email Sent @ Tue Feb 10 2015 19:52:13 GMT-0500 (EST)(fpoli@pppl.gov,nstx-u@pppl.gov)</t>
  </si>
  <si>
    <t>0B5-iztf28QNJRElfZlBWZDh5MXM</t>
  </si>
  <si>
    <t>https://docs.google.com/open?id=0B5-iztf28QNJRElfZlBWZDh5MXM</t>
  </si>
  <si>
    <t>Doc Created @ Wed Feb 25 2015 05:30:58 GMT-0500 (EST); Doc Merged @ Wed Feb 25 2015 05:30:58 GMT-0500 (EST)</t>
  </si>
  <si>
    <t>NB sustainment</t>
  </si>
  <si>
    <t>Gerhardt, Battaglia</t>
  </si>
  <si>
    <t>Start with non-inductive startup and programmed inductive ramp-up. Will assume that beam characterization has been done before this XP. 
Will start from discharge that achieves 100% NI current with NBI (current flattop value depends on beam configuration) and clamp OH progressively earlier in time to sustain non-inductive current from that time on. Results form this XP, in combination with the XP 'NB overdrive' will inform on how to proceed for non-inductive ramp-up from inductive startup (or from CHI+inductive) with HHFW and NB.</t>
  </si>
  <si>
    <t>MSE at low current ~300kA, CHERS with second beam.</t>
  </si>
  <si>
    <t>0B5-iztf28QNJSUhyYTViNWd6S1U</t>
  </si>
  <si>
    <t>https://docs.google.com/open?id=0B5-iztf28QNJSUhyYTViNWd6S1U</t>
  </si>
  <si>
    <t>Doc Created @ Tue Feb 10 2015 19:59:42 GMT-0500 (EST); Doc Merged @ Tue Feb 10 2015 19:59:43 GMT-0500 (EST); Email Sent @ Tue Feb 10 2015 19:59:47 GMT-0500 (EST)(fpoli@pppl.gov,nstx-u@pppl.gov)</t>
  </si>
  <si>
    <t>0B5-iztf28QNJMzg5YjVzR00tLVE</t>
  </si>
  <si>
    <t>https://docs.google.com/open?id=0B5-iztf28QNJMzg5YjVzR00tLVE</t>
  </si>
  <si>
    <t>Doc Created @ Wed Feb 25 2015 05:31:07 GMT-0500 (EST); Doc Merged @ Wed Feb 25 2015 05:31:08 GMT-0500 (EST)</t>
  </si>
  <si>
    <t>Soft-Limiting of Coil Forces and Stresses</t>
  </si>
  <si>
    <t>D. Boyer</t>
  </si>
  <si>
    <t>Dan and I have some ideas on how to "soft limit" the coil currents so as to avoid DCPS trips. The idea still needs some flushing out, but it appears that it might be useful in saving shots. We would need an XMP to assess basic function. More profound tuning could occur later.</t>
  </si>
  <si>
    <t>PCS code must be modified if we want to do this.</t>
  </si>
  <si>
    <t>0B5-iztf28QNJUkZEa3hXSWdfTTg</t>
  </si>
  <si>
    <t>https://docs.google.com/open?id=0B5-iztf28QNJUkZEa3hXSWdfTTg</t>
  </si>
  <si>
    <t>Doc Created @ Wed Feb 11 2015 21:10:31 GMT-0500 (EST); Doc Merged @ Wed Feb 11 2015 21:10:40 GMT-0500 (EST); Email Sent @ Wed Feb 11 2015 21:10:45 GMT-0500 (EST)(sgerhard@pppl.gov,nstx-u@pppl.gov)</t>
  </si>
  <si>
    <t>0B5-iztf28QNJeDRWODAxeGFJTDA</t>
  </si>
  <si>
    <t>https://docs.google.com/open?id=0B5-iztf28QNJeDRWODAxeGFJTDA</t>
  </si>
  <si>
    <t>Doc Created @ Wed Feb 25 2015 05:31:16 GMT-0500 (EST); Doc Merged @ Wed Feb 25 2015 05:31:17 GMT-0500 (EST)</t>
  </si>
  <si>
    <t>Confinement scaling</t>
  </si>
  <si>
    <t>Stan</t>
  </si>
  <si>
    <t>Kaye</t>
  </si>
  <si>
    <t>kaye@pppl.gov</t>
  </si>
  <si>
    <t>Maingi, Gerhardt, Podesta, Soukhanovskii, Berkery, et al</t>
  </si>
  <si>
    <t>Turbulence and Transport (TT)</t>
  </si>
  <si>
    <t>R15-1, JRT</t>
  </si>
  <si>
    <t>The XP will probe confinement scaling as a function of Ip and BT in NSTX-U, connecting back to NSTX but extending to newer operating regimes (at lower collisionality) in NSTX-U. This XP directly addresses the R15-1 milestone. Furthermore, the matrix of Ip/Bt values that will be accessed overlap with needs of XPs from many other TSGs. It is expected that other XPs will be submitted which will extend the parameter range of this one to satisfy the full needs of other TSGs.</t>
  </si>
  <si>
    <t xml:space="preserve">Enough diagnostics to do TRANSP runs. </t>
  </si>
  <si>
    <t>0B5-iztf28QNJWlR2N01nSVJJVFE</t>
  </si>
  <si>
    <t>https://docs.google.com/open?id=0B5-iztf28QNJWlR2N01nSVJJVFE</t>
  </si>
  <si>
    <t>Doc Created @ Fri Feb 13 2015 14:13:49 GMT-0500 (EST); Doc Merged @ Fri Feb 13 2015 14:13:49 GMT-0500 (EST); Email Sent @ Fri Feb 13 2015 14:13:55 GMT-0500 (EST)(kaye@pppl.gov,nstx-u@pppl.gov)</t>
  </si>
  <si>
    <t>0B5-iztf28QNJUHhSRXUyeXNCRGc</t>
  </si>
  <si>
    <t>https://docs.google.com/open?id=0B5-iztf28QNJUHhSRXUyeXNCRGc</t>
  </si>
  <si>
    <t>Doc Created @ Wed Feb 25 2015 05:31:26 GMT-0500 (EST); Doc Merged @ Wed Feb 25 2015 05:31:27 GMT-0500 (EST)</t>
  </si>
  <si>
    <t>RWM Stabilization Dependence on Neutral Beam Deposition Angle</t>
  </si>
  <si>
    <t>Steve Sabbagh, Jeremy Hanson</t>
  </si>
  <si>
    <t xml:space="preserve">R(15-2): Assess the effects of neutral beam injection parameters on the fast ion distribution function and neutral beam driven current profile, R15-3: Develop physics+operational tools for high-performance discharges </t>
  </si>
  <si>
    <t>For future tokamaks to operate in a continuous, disruption-free manner, an understanding of how the RWM instability can be reliably stabilized must be gained.  The theory of RWM stabilization that invokes kinetic effects as an energy dissipation mechanism has already been shown to unify results between experiments.  In particular, rotational resonances between the mode, the plasma rotation, and thermal particle motions such as the precession drift of trapped thermal ions have been shown to explain RWM instability at intermediate rotation in NSTX, and resonant field amplification results in DIII-D.  Energetic particles are also known to play an important role in kinetic RWM stabilization.  It has been shown that it is important to take into account the anisotropy of neutral beam injected energetic ions to correctly account for their stabilizing effects on RWM stability.  With NSTX-U’s new off-axis neutral beam it is important to assess the effects of profile and pitch angle dependence of energetic particles, and alteration of the rotation profile on stability.  
NSTX-U plasmas with various on- and off-axis neutral beam injection (see Operations/Development) will be used to produce a variety of rotation profiles and energetic particle distribution functions (changing both the radial (Ψ) profile and the pitch angle dependence).  Changes of the beam voltages can also be used to change the energy dependence of the EP distribution function, and the total number of energetic particles (or the ratio βEP/βtotal) as well.  Standard techniques of determining the stability of the plasma will then be employed for these different EP distribution function plasmas.  These include using n=3 non-resonant magnetic braking to slow the plasma rotation to the marginal stability point, or using n=1 AC fields to measure resonant field amplification (RFA) which indicates proximity to the marginal stability point.
</t>
  </si>
  <si>
    <t>This XP will utilize the results of the early-campaign XP to examine the effect of the new, second neutral beam. TRANSP analysis on these shots should be performed prior to this experiment to determine the extent of the change of the EP distribution function.
Required diagnostics: EFIT with MSE and flux iso-surface constraint (reduced error on q profile), CHERS toroidal rotation measurement, Internal RWM sensors, Thomson scattering, Diamagnetic loop, USXR, FIDA, Toroidal Mirnov array.
</t>
  </si>
  <si>
    <t>0B5-iztf28QNJSWE5eDA3dnhxTzA</t>
  </si>
  <si>
    <t>https://docs.google.com/open?id=0B5-iztf28QNJSWE5eDA3dnhxTzA</t>
  </si>
  <si>
    <t>Doc Created @ Fri Feb 13 2015 16:41:43 GMT-0500 (EST); Doc Merged @ Fri Feb 13 2015 16:41:43 GMT-0500 (EST); Email Sent @ Fri Feb 13 2015 16:41:47 GMT-0500 (EST)(jberkery@pppl.gov,nstx-u@pppl.gov)</t>
  </si>
  <si>
    <t>0B5-iztf28QNJNjlEX1JPODV5blk</t>
  </si>
  <si>
    <t>https://docs.google.com/open?id=0B5-iztf28QNJNjlEX1JPODV5blk</t>
  </si>
  <si>
    <t>Doc Created @ Wed Feb 25 2015 05:31:36 GMT-0500 (EST); Doc Merged @ Wed Feb 25 2015 05:31:37 GMT-0500 (EST)</t>
  </si>
  <si>
    <t>RWM Stabilization Physics at Reduced Collisionality</t>
  </si>
  <si>
    <t>Steve Sabbagh</t>
  </si>
  <si>
    <t>R(15-3): Develop physics+operational tools for high-performance discharges; ITPA MDC-21</t>
  </si>
  <si>
    <t>The theory of RWM stabilization that invokes kinetic effects as an energy dissipation mechanism has already been shown to unify results between experiments.  In particular, rotational resonances between the mode, the plasma rotation, and thermal particle motions such as the precession drift of trapped thermal ions have been shown to explain RWM instability at intermediate rotation in NSTX. The role of collisions in both dissipating the mode energy and also in damping the resonant kinetic effects has been outlined.  In future devices with lower collisionality, plasmas in rotational resonance will gain stability, but the plasma stability gradient with rotation will increase, making it especially important to avoid unfavorable plasma rotation profiles through rotation control or active mode control.  Assessing the effect of collisionality on RWM stability experimentally and comparing to this theory is crucial for future devices, and for NSTX-U.  
Using low collisionality targets, we will assess the stability dependence of the RWM on plasma rotation.  From theory we expect that plasmas in rotational resonance will be more stable than at higher collisionality while plasmas with rotation between stabilizing resonances will be minimally affected and therefore close to marginally stable.  Therefore the gradient in plasma stability with rotation will increase.  We will look for this behavior in the experiment by using n=3 non-resonant magnetic braking to slow the plasma rotation.  We will also use n=1 AC fields to measure resonant field amplification (RFA) which will give an indication of proximity to the marginal point.  Additionally, lower density plasmas are expected to be subject to more energetic particle modes (EPMs).  It is possible that we could find EPM-triggered RWMs in this experiment, as in JT-60U and DIII-D.  Finally, techniques to diagnose the eigenfunction, with edge multi-energy soft X-ray, reflectometer, or beam emission spectrometry, can also be tried.
</t>
  </si>
  <si>
    <t>This XP intends to leverage the successful development of a reliably operating low collisionality target, which will be pursued in separate, dedicated XPs. 
Diagnostics required: EFIT with MSE and flux iso-surface constraint (reduced error on q profile), CHERS toroidal rotation measurement, Internal RWM sensors, Thomson scattering, Diamagnetic loop, USXR, FIDA, Toroidal Mirnov array, Advanced USXR diagnostics
</t>
  </si>
  <si>
    <t>0B5-iztf28QNJSEY0VENzbllMdDA</t>
  </si>
  <si>
    <t>https://docs.google.com/open?id=0B5-iztf28QNJSEY0VENzbllMdDA</t>
  </si>
  <si>
    <t>Doc Created @ Fri Feb 13 2015 16:50:13 GMT-0500 (EST); Doc Merged @ Fri Feb 13 2015 16:50:13 GMT-0500 (EST); Email Sent @ Fri Feb 13 2015 16:50:20 GMT-0500 (EST)(jberkery@pppl.gov,nstx-u@pppl.gov)</t>
  </si>
  <si>
    <t>0B5-iztf28QNJUDRpN2k4LTllSVk</t>
  </si>
  <si>
    <t>https://docs.google.com/open?id=0B5-iztf28QNJUDRpN2k4LTllSVk</t>
  </si>
  <si>
    <t>Doc Created @ Wed Feb 25 2015 05:31:48 GMT-0500 (EST); Doc Merged @ Wed Feb 25 2015 05:31:48 GMT-0500 (EST)</t>
  </si>
  <si>
    <t>RWM PID control optimization based on theory and experiment</t>
  </si>
  <si>
    <t>R(15-3), ITPA MDC-19, ITPA MDC-21</t>
  </si>
  <si>
    <t>Experiments using n = 1 RWM control in 2010 and subsequent analysis using the VALEN code show that some settings for control using Br and Bp sensors are optimal, while others can be improved. In particular, the Bp feedback phase, and Br feedback gain presently differ in the most recent analysis than the experimental settings. Bp sensor gain will also be examined in this experiment. The experiment is meant to have scope limited to these parameters, and is suggested to run early in the CY2015 run once relatively high normalized beta operation is available, as it will optimize parameters for all subsequent experiments that want to use n = 1 control.
XP1023 run in 2010 made an extensive scan of parameters for the n = 1 proportional gain control system. Present VALEN analysis (ongoing), including time domain calculations of feedback, is reproducing the behavior observed in the experiment for a given set of input parameters. The Bp feedback phase is presently matching experiment the least well, and further analysis is being conducted to understand this. The Br feedback phase matches the experiment very well, and need not be changed. The Br sensor gain shows an optimal value in the analysis, and the present setting is somewhat smaller than the optimal value. These parameters will be scanned in a limited sense for fiducial and lower li plasmas to match the optimal expectations of both theory and past experiment based on the analysis performed between now and the time of this experiment.
The experiment will focus on variations of Br feedback gain, Bp feedback phase, and Bp feedback gain with a range limited to values near the computed optimal values. Plasma target will be changed as time allows. Half-day operation should allow at least two target plasma to be run (e.g. fiducial, and high li target plasmas.)
</t>
  </si>
  <si>
    <t>Operations/Development:
RWM PID control using Bp and Br sensors needed, NTV braking by n = 2 or 3 applied field configuration needed.
Diagnostics:
RWM sensors, CHERS, USXR, equilibrium magnetics, toroidal pickup probe array 
Analysis:
NSTX-U EFIT with MSE, DCON, VALEN, MISK, RWMSC analysis codes
</t>
  </si>
  <si>
    <t>0B5-iztf28QNJZ0c4elBYdWgyZWM</t>
  </si>
  <si>
    <t>https://docs.google.com/open?id=0B5-iztf28QNJZ0c4elBYdWgyZWM</t>
  </si>
  <si>
    <t>Doc Created @ Fri Feb 13 2015 18:28:24 GMT-0500 (EST); Doc Merged @ Fri Feb 13 2015 18:28:24 GMT-0500 (EST); Email Sent @ Fri Feb 13 2015 18:28:29 GMT-0500 (EST)(sabbagh@pppl.gov,nstx-u@pppl.gov)</t>
  </si>
  <si>
    <t>0B5-iztf28QNJVVRmelo1RlBRZzA</t>
  </si>
  <si>
    <t>https://docs.google.com/open?id=0B5-iztf28QNJVVRmelo1RlBRZzA</t>
  </si>
  <si>
    <t>Doc Created @ Wed Feb 25 2015 05:31:59 GMT-0500 (EST); Doc Merged @ Wed Feb 25 2015 05:31:59 GMT-0500 (EST)</t>
  </si>
  <si>
    <t>RWM state space control physics</t>
  </si>
  <si>
    <t>J.W. Berkery, J.M. Bialek, Y.S. Park</t>
  </si>
  <si>
    <t>The RWM state space controller (RWMSC) will be applied to high performance plasmas (high normalized beta, low li, etc.) to examine several aspects of mode control physics, as a logical next step to the initial experiments of 2010. The present experiment moves beyond the initial experiments in the following ways: (i) eigenfunctions of different target plasmas will be introduced, and several target plasmas will be used (high triangularity, high li-low A, snowflake divertor), (ii) eigenfunctions with n &gt; 1 will be introduced to the controller, (iii) independent control of the 6 RWM coils will allow control of n &gt; 1 perturbations, (iv) a more careful comparison of control with/without wall states will be conducted, (v) an initial set of shots will test compatibility with plasma rotation reduction by NTV, (vi) proportional feedback using Br sensors will be added. Gains and feedback phase will be adjusted as needed. NTV magnetic braking will be compatible if the eigenfunction and wall states used do not conflict with the applied field. This has never been tested. Proportional gain using RWM Br sensors has also never been used with the state space controller, and will be tested here.
Low li, high triangularity fiducial, and snowflake divertor targets will be used. The primary scans will be run on the target that is most applicable to future ST plasma applications. RWMSC control matrices with different numbers of input mode eigenfunctions will be tested (at least n = 1, 2, each with the ability to rotate). The RWMSC will independently control the six RWM coils and will allow n &gt; 1 control. Performance and estimates of the sensors from the observer will be compared to more limited control. Scans to test the effects of the wall current, compatibility with NTV braking, and the addition of PID n = 1 Br sensor control will be made. The priority of these scans is yet to be determined. 
</t>
  </si>
  <si>
    <t>Operations/Development:
NSTX RWMSC operation, RWM PID control of Br sensors desired, pre-programmed n NTV magnetic braking required. Both n = 2 or 3 NTV non-resonant braking will be used to test compatibility with the RWMSC.
Diagnostics:
RWM sensors, CHERS, USXR, equilibrium magnetics, toroidal pickup probe array 
Analysis:
NSTX-U EFIT with MSE, DCON, VALEN, MISK, NTVTOK, RWMSC analysis codes
</t>
  </si>
  <si>
    <t>0B5-iztf28QNJOUloMXl4d01vS2M</t>
  </si>
  <si>
    <t>https://docs.google.com/open?id=0B5-iztf28QNJOUloMXl4d01vS2M</t>
  </si>
  <si>
    <t>Doc Created @ Fri Feb 13 2015 18:50:25 GMT-0500 (EST); Doc Merged @ Fri Feb 13 2015 18:50:26 GMT-0500 (EST); Email Sent @ Fri Feb 13 2015 18:50:31 GMT-0500 (EST)(sabbagh@pppl.gov,nstx-u@pppl.gov)</t>
  </si>
  <si>
    <t>0B5-iztf28QNJVGxXRjNZQkpsQUk</t>
  </si>
  <si>
    <t>https://docs.google.com/open?id=0B5-iztf28QNJVGxXRjNZQkpsQUk</t>
  </si>
  <si>
    <t>Doc Created @ Wed Feb 25 2015 05:32:09 GMT-0500 (EST); Doc Merged @ Wed Feb 25 2015 05:32:09 GMT-0500 (EST)</t>
  </si>
  <si>
    <t>Neoclassical toroidal viscosity at reduced collisionality (independent coil control)</t>
  </si>
  <si>
    <t>J.W. Berkery, Y.S. Park, K.C. Shaing</t>
  </si>
  <si>
    <t>R(15-3), ITPA MDC-21</t>
  </si>
  <si>
    <t>The dependence of neoclassical toroidal viscosity (NTV) on ion collisionality will be tested  in the new NSTX-U plasma conditions to vary the plasma density and temperature where NTV torque is maximized in the plasma, focusing on the NTV scaling and comparison to theory at the lowest collisionality possible. At low collisionality, NTV is also observed to increase at sufficiently low OmegaE, corresponding to the superbanana plateau regime in theory. The increase of NTV at low OmegaE will be examined in steady plasma conditions. The increase in NTV strength in these regimes are important to understand from a physics perspective for extrapolation to future devices, but it also has more near-term practical importance in developing more accurate simple models for the expected rotation damping to be used in state-space rotation feedback control. The present experiment will apply the planned n = 2 and n = 3 applied field configurations expected for non-resonant braking, with and without  n = 1 field correction. This will demonstrate the NTV braking profiles for closed loop operation.
Two key scans are: (i) nu*i and (ii) n*q*OmegaE. The latter will be changed by changing plasma rotation, and also by changing the primary n value of the applied field (n = 2, or n = 3). Different plasma targets and density variation will be used to vary nu*i. Plasma rotation will be varied, from fastest to slowest in NSTX-U, via non-resonant braking, number of NBI sources applied, and potentially via plasma density variation. Two new approaches will be used, allowed by new capabilities: (i) n = 2 and n = 3 configurations will be swapped after one of these configurations yields a quasi-steady-state rotation profile, to directly see how the braking caused by  the n = 2 and n = 3 applied field configurations change the plasma rotation dynamically, and (ii) waveforms that demonstrate access to the superbanana plateau regime, and recovery from it to higher rotation will be demonstrated.
</t>
  </si>
  <si>
    <t>Operations/Development:
Low collisionality target development, with Some further development of low ion collisionality targets could be performed in this XP; use of the n = 3 applied field configuration is required, and use of the standard n = 2 applied field configuration is highly desired. Use of n = 1 feedback is desired.
Diagnostics:
RWM sensors, CHERS, USXR, ME-SXR, standard magnetics, etc.
Analysis:
NSTX-U EFIT with MSE (during NBI phase), NTVTOK, DCON, MISK, etc.
</t>
  </si>
  <si>
    <t>0B5-iztf28QNJYThlTVpBdGtENzA</t>
  </si>
  <si>
    <t>https://docs.google.com/open?id=0B5-iztf28QNJYThlTVpBdGtENzA</t>
  </si>
  <si>
    <t>Doc Created @ Fri Feb 13 2015 19:05:03 GMT-0500 (EST); Doc Merged @ Fri Feb 13 2015 19:05:03 GMT-0500 (EST); Email Sent @ Fri Feb 13 2015 19:05:08 GMT-0500 (EST)(sabbagh@pppl.gov,nstx-u@pppl.gov)</t>
  </si>
  <si>
    <t>0B5-iztf28QNJSVNsbkdLRE1EaFU</t>
  </si>
  <si>
    <t>https://docs.google.com/open?id=0B5-iztf28QNJSVNsbkdLRE1EaFU</t>
  </si>
  <si>
    <t>Doc Created @ Wed Feb 25 2015 05:32:19 GMT-0500 (EST); Doc Merged @ Wed Feb 25 2015 05:32:19 GMT-0500 (EST)</t>
  </si>
  <si>
    <t>NTV steady-state offset velocity at reduced torque with HHFW</t>
  </si>
  <si>
    <t>R(15-3)</t>
  </si>
  <si>
    <t>Run time is requested to complete the RF component of XP1062, which has a unique approach to determine the NTV steady-state offset velocity, and the conclusion of which is still highly relevant. This is particularly important as the NTV offset velocity appears to have different characteristics in different devices that may not follow the expectations of present theory. This is high importance to ITER, and the topic of intrinsic rotation for plasma stabilization. 
The experimental approach is close to an experiment conducted by Hosea and Podesta in 2009. An HHFW-heated plasma is created, and a brief period of NBI is used to measure the linear increase in plasma rotation. This data is extrapolated back in time to determine the rotation during HHFW heating alone. In the present experiment, varied levels non-resonant applied field will be used during the pulse, which should alter the plasma rotation on each flux surface by the NTV offset rotation speed. The difference between the cases with/without applied non-resonant field will give the NTV offset rotation value. Both n =2, and n = 3 applied field configurations will be attempted separately, and n = 1 field correction will be attempted to see how the results without such correction would change. This experiment would leverage the target development from experiments by Mario Podesta and RF XPs involving HHFW coupling to H-mode plasmas.
</t>
  </si>
  <si>
    <t>Operations/Development:
Ability to successfully run HHFW heated plasmas, maximum power is desired for the highest possible plasma temperature, a minimum of 2 MW is desired; use of the standard n = 3 applied field configuration is required, and use of the standard n = 2 applied field configuration is highly desired. The ability to use n = 1 feedback is desired.
Diagnostics:
RWM sensors, CHERS, standard magnetics, etc.
Analysis:
NSTX-U EFIT with MSE (during NBI phase), NTVTOV, DCON, MISK
</t>
  </si>
  <si>
    <t>0B5-iztf28QNJQzhtUGJ3YkNlRFk</t>
  </si>
  <si>
    <t>https://docs.google.com/open?id=0B5-iztf28QNJQzhtUGJ3YkNlRFk</t>
  </si>
  <si>
    <t>Doc Created @ Fri Feb 13 2015 19:35:39 GMT-0500 (EST); Doc Merged @ Fri Feb 13 2015 19:35:40 GMT-0500 (EST); Email Sent @ Fri Feb 13 2015 19:35:44 GMT-0500 (EST)(sabbagh@pppl.gov,nstx-u@pppl.gov)</t>
  </si>
  <si>
    <t>0B5-iztf28QNJLXVQeEJSMk40Rlk</t>
  </si>
  <si>
    <t>https://docs.google.com/open?id=0B5-iztf28QNJLXVQeEJSMk40Rlk</t>
  </si>
  <si>
    <t>Doc Created @ Wed Feb 25 2015 05:32:29 GMT-0500 (EST); Doc Merged @ Wed Feb 25 2015 05:32:30 GMT-0500 (EST)</t>
  </si>
  <si>
    <t>RWM control physics with partial control coil coverage (JT-60SA)</t>
  </si>
  <si>
    <t>Young-Seok</t>
  </si>
  <si>
    <t>Park</t>
  </si>
  <si>
    <t>ypark@pppl.gov</t>
  </si>
  <si>
    <t>S.A. Sabbagh, J.W. Berkery, J.M. Bialek</t>
  </si>
  <si>
    <t>MDC-19, MDC-21</t>
  </si>
  <si>
    <t>RWM control in NSTX will be attempted with partial coverage of the RWM coils to test the physics of RWM mode rigidity and the impact of coil loss on the ability to control the RWM. Control will be attempted with both n = 1 proportional gain, and the RWM state space controller (RWMSC). Other than testing the physics of mode rigidity (which addresses the RWM spectrum, which can be compared to multi-mode RWM theory using the VALEN code), the results will have impact on RWM control implementation schemes for JT-60SA (which has significant toroidal gaps between control coils), and will provide input on the impact of individual internal control coil failures for ITER, or future ST devices in which individual damaged control coils may not be able to be immediately repaired. 
RWM control will be attempted with both n = 1 proportional gain, and the RWMSC while deactivating coils in a few ways: (i) single toroidal position, (ii) two toroidal positions, (iii) every other toroidal position. The first case has the potential of generating the greatest variation of the RWM n spectrum, as the perturbation in the control field is most localized. Proportional gain control of the n = 1 Fourier decomposed sensor signals is vulnerable to failure by a deactivated control coil by a resulting expanded n spectrum of the mode (less “mode rigidity”), and the reduced ability of the mode phase to be tracked toroidally if it is rotating. However, the RWMSC with n = 2, and perhaps n = 3 eigenfunctions will be able to provide a greater n spectrum for control, and so may show greater ability to control the mode. In the cases above, if RWM control is lost, (i) control parameters will be altered to attempt to regain control (e.g. vary feedback phase, vary gains), (ii) the case will be attempted again at reduced normalized beta/modified plasma rotation, until the plasma regains stability.
</t>
  </si>
  <si>
    <t>Operations/Development:
RWMSC operation (6 RWM control coils with independent power supplies) using n = 1 and n &gt; 1 eigenfunctions, n  = 1 RWM PID control with both Bp and Br sensors required. NBI feedback control of betaN is highly desired.
Diagnostics:
RWM sensors, CHERS, USXR, ME-SXR, BES, equilibrium magnetics, toroidal pickup probe array, etc.
Analysis:
NSTX-U EFIT with MSE, DCON, VALEN, MISK, IPEC, RWMSC analysis codes
</t>
  </si>
  <si>
    <t>0B5-iztf28QNJQzYtZ3V1RDVNWDQ</t>
  </si>
  <si>
    <t>https://docs.google.com/open?id=0B5-iztf28QNJQzYtZ3V1RDVNWDQ</t>
  </si>
  <si>
    <t>Doc Created @ Fri Feb 13 2015 19:45:08 GMT-0500 (EST); Doc Merged @ Fri Feb 13 2015 19:45:09 GMT-0500 (EST); Email Sent @ Fri Feb 13 2015 19:45:15 GMT-0500 (EST)(ypark@pppl.gov,nstx-u@pppl.gov)</t>
  </si>
  <si>
    <t>0B5-iztf28QNJQUg2S1pjX3lqQXc</t>
  </si>
  <si>
    <t>https://docs.google.com/open?id=0B5-iztf28QNJQUg2S1pjX3lqQXc</t>
  </si>
  <si>
    <t>Doc Created @ Wed Feb 25 2015 05:32:39 GMT-0500 (EST); Doc Merged @ Wed Feb 25 2015 05:32:40 GMT-0500 (EST)</t>
  </si>
  <si>
    <t>RWM state space active control at reduced plasma rotation</t>
  </si>
  <si>
    <t>The NSTX-U RWM state space controller (RWMSC) will be applied to high performance plasmas (high normalized beta, low li, etc.) to demonstrate the capability of mode control at reduced plasma rotation, and especially near marginal stability points at intermediate rotation levels, and at the lowest rotation attainable in NSTX with non-resonant magnetic braking. Key controller parameters will be varied to determine superior parameters and to test controller physics. This study is especially important to demonstrate controller performance in next generation ST devices, and ITER, that will operate at low plasma rotation.
One or more plasma targets will be used, depending upon results of RWM control experiments that will precede this. The targets will be high performance plasmas that attempt to maximize pulse-averaged normalized beta, betaN, at high betaN, and that are of high applicability for ST fusion applications (e.g. ST-CTF, ST-Pilot) and NSTX-U. Other than plasma target, the key variable will be the plasma rotation profile, which will be changed by either n = 2 or 3 non-resonant NTV braking configurations.
RWMSC parameters are the other key variables in the study. An earlier experiment will attempt to determine optimal parameters for the RWMSC at relatively high plasma rotation, but some of these parameters will be changed in this study to investigate the controller physics including the mode eigenfunctions used and controller feedback phase. Controller gains may have to be adjusted, and will be included as an optional variable.</t>
  </si>
  <si>
    <t>Operations/Development:
NSTX-U RWMSC operation, RWM PID control of Br sensors desired, pre-programmed n = 3 magnetic braking required. n = 2, 3 NTV non-resonant braking will be used.
Diagnostics:
RWM sensors, CHERS, USXR, equilibrium magnetics, toroidal pickup probe array 
Analysis:
NSTX-U EFIT with MSE, DCON, VALEN, MISK, IPEC, RWMSC analysis codes</t>
  </si>
  <si>
    <t>0B5-iztf28QNJS1BTXzIzQnN6alk</t>
  </si>
  <si>
    <t>https://docs.google.com/open?id=0B5-iztf28QNJS1BTXzIzQnN6alk</t>
  </si>
  <si>
    <t>Doc Created @ Fri Feb 13 2015 19:49:06 GMT-0500 (EST); Doc Merged @ Fri Feb 13 2015 19:49:07 GMT-0500 (EST); Email Sent @ Fri Feb 13 2015 19:49:13 GMT-0500 (EST)(ypark@pppl.gov,nstx-u@pppl.gov)</t>
  </si>
  <si>
    <t>0B5-iztf28QNJNmNncUswbWZiVzQ</t>
  </si>
  <si>
    <t>https://docs.google.com/open?id=0B5-iztf28QNJNmNncUswbWZiVzQ</t>
  </si>
  <si>
    <t>Doc Created @ Wed Feb 25 2015 05:32:50 GMT-0500 (EST); Doc Merged @ Wed Feb 25 2015 05:32:50 GMT-0500 (EST)</t>
  </si>
  <si>
    <t>Multi-mode Error Field Correction with the RWM State-Space Controller</t>
  </si>
  <si>
    <t>Y.S. Park , J.M. Bialek, J.W. Berkery</t>
  </si>
  <si>
    <t>Multi-mode error field correction will be performed for the first time using the inherent capability of the NSTX-U RWM state space controller (RWMSC) through the straightforward addition of multiple MHD modes in the controller model. This new technique (in our field) will directly use MHD eigenfunctions of various n, and/or various poloidal mode spectra to test the relative effectiveness of the approach. The technique allows full bandwidth application, from DC to time-varying error fields up to frequencies approaching the eddy current decay time of nearby conducting structure.
The experimental plan will focus on the ability of the RWMSC to eliminate error fields of varying toroidal mode number, and will consist of demonstrating error field reduction of (i) intrinsic error fields of NSTX-U, (ii) dynamic error field reduction, and (iii) reduction of applied error fields. As a strawman shot plan:
1) Reduction of applied error fields:
(a) Apply n = 1 pre-programmed error field, and demonstrate reduction
(b) Apply n = 2 pre-programmed error field, and demonstrate reduction
(c) Apply n = 3 pre-programmed error field, and demonstrate reduction
(d) Attempt error field reduction with orthogonal eigenfunction
(e) Increase influence of wall states in model
2) Reduction of intrinsic error fields:
(using best control matrix set-up from Step (1)):
(a) Apply n = 1 eigenfunction for error field reduction
(b) Apply n = 2 eigenfunction for error field reduction
(c) Apply n = 3 eigenfunction for error field reduction
(d) Use n = 1,2,3 eigenfunctions in combination
(e) Increase influence of wall states in model
3) Reduction of dynamic error fields (at higher betaN):
(using best control matrix set-up from Step (2)):
(a) Use n = 1,2,3 eigenfunctions in combination
(b) Attempt error field reduction with orthogonal eigenfunction
(c) Increase influence of wall states in model
</t>
  </si>
  <si>
    <t>Operations/Development:
NSTX-U RWMSC operation, RWM PID control of Br sensors desired.
Diagnostics:
RWM sensors, CHERS, equilibrium magnetics, toroidal pickup probe array 
Analysis:
NSTX-U EFIT with MSE, DCON, VALEN, MISK, NTVTOK, RWMSC analysis codes
</t>
  </si>
  <si>
    <t>0B5-iztf28QNJVXdDRmMzMkgtQ3M</t>
  </si>
  <si>
    <t>https://docs.google.com/open?id=0B5-iztf28QNJVXdDRmMzMkgtQ3M</t>
  </si>
  <si>
    <t>Doc Created @ Fri Feb 13 2015 21:02:49 GMT-0500 (EST); Doc Merged @ Fri Feb 13 2015 21:02:49 GMT-0500 (EST); Email Sent @ Fri Feb 13 2015 21:02:54 GMT-0500 (EST)(sabbagh@pppl.gov,nstx-u@pppl.gov)</t>
  </si>
  <si>
    <t>0B5-iztf28QNJWXdmUEhOVnktV3M</t>
  </si>
  <si>
    <t>https://docs.google.com/open?id=0B5-iztf28QNJWXdmUEhOVnktV3M</t>
  </si>
  <si>
    <t>Doc Created @ Wed Feb 25 2015 05:33:07 GMT-0500 (EST); Doc Merged @ Wed Feb 25 2015 05:33:08 GMT-0500 (EST)</t>
  </si>
  <si>
    <t>Assess NSTX-U ideal-wall limit with 2nd NBI</t>
  </si>
  <si>
    <t>Jonathan</t>
  </si>
  <si>
    <t>Menard</t>
  </si>
  <si>
    <t>jmenard@pppl.gov</t>
  </si>
  <si>
    <t>Zhirui Wang, J-K Park, Yueqiang Liu</t>
  </si>
  <si>
    <t xml:space="preserve">Recent kinetic stability calculations have found that the magnitude and shape of the toroidal rotation profile can strongly influence the ideal-wall stability limit in high-beta ST plasmas. The fast-ion beta fraction can also be important, i.e. a high fraction can be destabilizing.  This experiment will attempt to determine the IW beta limit with varied rotation profile and fast ion content by varying the NBI source, plasma density, and/or NTV braking. </t>
  </si>
  <si>
    <t>Need target plasma that is passively stable to RWM (or feedback stabilizable) above the no-wall limit with sufficient confinement so the ideal-wall limit can be reached with the available heating power.</t>
  </si>
  <si>
    <t>0B5-iztf28QNJR1F5b2RkZUxDamc</t>
  </si>
  <si>
    <t>https://docs.google.com/open?id=0B5-iztf28QNJR1F5b2RkZUxDamc</t>
  </si>
  <si>
    <t>Doc Created @ Mon Feb 16 2015 10:41:24 GMT-0500 (EST); Doc Merged @ Mon Feb 16 2015 10:41:27 GMT-0500 (EST); Email Sent @ Mon Feb 16 2015 10:41:33 GMT-0500 (EST)(jmenard@pppl.gov,nstx-u@pppl.gov)</t>
  </si>
  <si>
    <t>0B5-iztf28QNJSVRpNk1QRlk2b0U</t>
  </si>
  <si>
    <t>https://docs.google.com/open?id=0B5-iztf28QNJSVRpNk1QRlk2b0U</t>
  </si>
  <si>
    <t>Doc Created @ Wed Feb 25 2015 05:33:19 GMT-0500 (EST); Doc Merged @ Wed Feb 25 2015 05:33:19 GMT-0500 (EST)</t>
  </si>
  <si>
    <t>Minimum Value of q_min/q_0 and q shear to avoid core n=1 kink/tearing</t>
  </si>
  <si>
    <t>S. Gerhardt, D. Boyer, J. Menard</t>
  </si>
  <si>
    <t>FY-15 JRT, 15-2, 15-3</t>
  </si>
  <si>
    <t>Many long-pulse H-modes in NSTX were limited by n=1 kink/tearing modes [Menard 2005, Menard 2006, Gerhardt 2008?, Gerhardt 2010, Gerhardt 2012]. These modes typically turned on as q_min approached unity, although triggering physics could also play a role. Theory also suggests that reversed shear is important for the n=1 mode to be linearly unstable (Breslau, 20??) In any case, in this idea, variations of q_min will be achieved via changes in the NB configuration. The combinations of q_min and q_shear that lead to these modes onsetting will be assessed. Conditions for robustly avoiding these modes will be determined.</t>
  </si>
  <si>
    <t>MSE system, Mirnov diagnostics. One might be able to do some cool eigenfunction reconstructions if there were all the various SXR systems and the high resolution MPTS (and pulse burst MPTS in the future!).</t>
  </si>
  <si>
    <t>0B5-iztf28QNJQnAxdW5NX1Y0S3M</t>
  </si>
  <si>
    <t>https://docs.google.com/open?id=0B5-iztf28QNJQnAxdW5NX1Y0S3M</t>
  </si>
  <si>
    <t>Doc Created @ Mon Feb 16 2015 14:01:49 GMT-0500 (EST); Doc Merged @ Mon Feb 16 2015 14:01:51 GMT-0500 (EST); Email Sent @ Mon Feb 16 2015 14:01:55 GMT-0500 (EST)(sgerhard@pppl.gov,nstx-u@pppl.gov)</t>
  </si>
  <si>
    <t>0B5-iztf28QNJMEhHc1ZybDV2MWs</t>
  </si>
  <si>
    <t>https://docs.google.com/open?id=0B5-iztf28QNJMEhHc1ZybDV2MWs</t>
  </si>
  <si>
    <t>Doc Created @ Wed Feb 25 2015 05:33:30 GMT-0500 (EST); Doc Merged @ Wed Feb 25 2015 05:33:31 GMT-0500 (EST)</t>
  </si>
  <si>
    <t>Comparison of H-mode pedestal with RF and NBI</t>
  </si>
  <si>
    <t>A. Diallo</t>
  </si>
  <si>
    <t>Goal: systematically compare the pedestal characteristics of RF heated H-modes with NBI heated H-modes with everything similar except outer gap.
Importance: the density profiles are quite different between RF and NBI heated H-modes. This will help us understand the role of fueling in setting up the density pedestal structure.
Run plan:
Start with a double-null discharge with good H-mode access using RF heating
– In the previous XP505, this was optimized at low triangularity ~ 0.5, and Ip ~
0.6 MA to overlap with NBI H-modes, e.g. #117776 (RF) and #117752 (NBI)
– Consider a low Ip, higher triangularity fiducial-like shape, if H-mode access
with RF was established previously in the FY11 run in that configuration
• Tweak the outer gap to as large of a value as possible (but &lt; 10 cm) to
get as close to an NBI shape and the high-resolution edge Thomson as
possible
• Perform a three-point power scan; time permitting, on a shot-to-shot
basis, otherwise with three power steps in a single discharge
• Time permitting, repeat the RF discharges with NBI blips
• Reproduce the obtained power ramps in RF with NBI
• Time permitting, use RF solely to access H-mode, and then replace the
RF with NBI after the L-H transition
</t>
  </si>
  <si>
    <t>Need RF operations, and Li operations. Candidate for late CY run.</t>
  </si>
  <si>
    <t>0B5-iztf28QNJUThOMUlRS215TmM</t>
  </si>
  <si>
    <t>https://docs.google.com/open?id=0B5-iztf28QNJUThOMUlRS215TmM</t>
  </si>
  <si>
    <t>Doc Created @ Mon Feb 16 2015 17:11:01 GMT-0500 (EST); Doc Merged @ Mon Feb 16 2015 17:11:02 GMT-0500 (EST); Email Sent @ Mon Feb 16 2015 17:11:06 GMT-0500 (EST)(rmaingi@pppl.gov,nstx-u@pppl.gov)</t>
  </si>
  <si>
    <t>0B5-iztf28QNJV1NpSkJJN01PUEU</t>
  </si>
  <si>
    <t>https://docs.google.com/open?id=0B5-iztf28QNJV1NpSkJJN01PUEU</t>
  </si>
  <si>
    <t>Doc Created @ Wed Feb 25 2015 05:33:40 GMT-0500 (EST); Doc Merged @ Wed Feb 25 2015 05:33:40 GMT-0500 (EST)</t>
  </si>
  <si>
    <t>Tuning of the Automated Rampdown Software</t>
  </si>
  <si>
    <t>Boyer, Battaglia, Erickson, Berkery, Raman, Sabbagh, Myers,...</t>
  </si>
  <si>
    <t>JRT2016</t>
  </si>
  <si>
    <t>Having run the XMP that proves the system functions from a software view, this XP will "tune" the short shutdown mechanism. While the details are not worked out, it seems like it might take a plasma that works well and drive it to disruption in a couple of different ways (turning off vertical control, magnetic braking). Then things like the detection thresholds,  Ip ramp down rate, and similar can be given at least an initial optimization.</t>
  </si>
  <si>
    <t>Should run the XMP first, to prove that it is basically working from an architecture perspective. And before that, obviously need the software to be complete.</t>
  </si>
  <si>
    <t>0B5-iztf28QNJRlpxbndVUUtweTQ</t>
  </si>
  <si>
    <t>https://docs.google.com/open?id=0B5-iztf28QNJRlpxbndVUUtweTQ</t>
  </si>
  <si>
    <t>Doc Created @ Mon Feb 16 2015 21:27:22 GMT-0500 (EST); Doc Merged @ Mon Feb 16 2015 21:27:23 GMT-0500 (EST); Email Sent @ Mon Feb 16 2015 21:27:30 GMT-0500 (EST)(sgerhard@pppl.gov,nstx-u@pppl.gov)</t>
  </si>
  <si>
    <t>0B5-iztf28QNJYmotenhYSXhnbmM</t>
  </si>
  <si>
    <t>https://docs.google.com/open?id=0B5-iztf28QNJYmotenhYSXhnbmM</t>
  </si>
  <si>
    <t>Doc Created @ Wed Feb 25 2015 05:33:50 GMT-0500 (EST); Doc Merged @ Wed Feb 25 2015 05:33:50 GMT-0500 (EST)</t>
  </si>
  <si>
    <t xml:space="preserve">HHFW effects on toroidal rotation </t>
  </si>
  <si>
    <t>Nicola</t>
  </si>
  <si>
    <t>Bertelli</t>
  </si>
  <si>
    <t>nbertell@pppl.gov</t>
  </si>
  <si>
    <t>R. J. Perkins, R. Bell, M. Podestà, J.C. Hosea, G. Taylor, P. Bonoli, and J. Wilson</t>
  </si>
  <si>
    <t>Wave Heating and Current Drive (RF)</t>
  </si>
  <si>
    <t>The goal of this experiment is to investigate the effect of HHFW on the toroidal rotation in NBI heated plasma. In previous studies (Taylor et al. PoP 17, 056114 (2010)) have been shown that the toroidal rotation appears to lock at the edge plasma during HHFW operation. In particular, the edge toroidal rotation tends to slow down in the presence of HHFW and suddenly increase when HHFW is off, approximately to the same level of NBI alone. This effect could also be an attractive “tool” if confirmed and controlled. 
At the same time, this experiment is useful to study the interaction of HHFW with edge energetic ions as previously done by Biewer et al. (PoP 12, 056108 (2005)) for possible RF power losses through PDI or other mechanisms. 
The plan of the experiment is to perform a systematic study of edge rotation locking.
RF power scan and NB power scan (only NBI 1) will be performed with a combination of the two.  Furthermore, a scan in the antenna phases will also be done.
</t>
  </si>
  <si>
    <t>NO NBI #2
Required diagnostics: Thomson scattering, CHERS, ERD 
Desired diagnostics: all fast ions diagnostics and SOL reflectometer
</t>
  </si>
  <si>
    <t>0B5-iztf28QNJd3NicFJBNE5faDg</t>
  </si>
  <si>
    <t>https://docs.google.com/open?id=0B5-iztf28QNJd3NicFJBNE5faDg</t>
  </si>
  <si>
    <t>Doc Created @ Tue Feb 17 2015 09:15:51 GMT-0500 (EST); Doc Merged @ Tue Feb 17 2015 09:15:52 GMT-0500 (EST); Email Sent @ Tue Feb 17 2015 09:15:56 GMT-0500 (EST)(nbertell@pppl.gov,nstx-u@pppl.gov)</t>
  </si>
  <si>
    <t>0B5-iztf28QNJbHAtRzZBbVU5X1E</t>
  </si>
  <si>
    <t>https://docs.google.com/open?id=0B5-iztf28QNJbHAtRzZBbVU5X1E</t>
  </si>
  <si>
    <t>Doc Created @ Wed Feb 25 2015 05:34:00 GMT-0500 (EST); Doc Merged @ Wed Feb 25 2015 05:34:00 GMT-0500 (EST)</t>
  </si>
  <si>
    <t xml:space="preserve">HHFW CD measurements by MSE diagnostic and RF code validation </t>
  </si>
  <si>
    <t>Howard Yuh, R. J. Perkins, J.C. Hosea, G. Taylor, P. Bonoli, C. Phillips, and J. Wilson</t>
  </si>
  <si>
    <t xml:space="preserve">The goal of this experiment is to measure HHFW current drive in plasma with and without (if MSE-LIF available) NBI by MSE diagnostic in order to (i) validate RF codes; (ii) compare heating vs. current drive regimes (different antenna phases, etc.) and (iii) link the HHFW absorption and current drive measurement with the SOL density measurement. Related to the last point the main question to answer is: “is current drive weakest when the electron density outside the LCFS is raised above the fast wave cut-off density?” (similar things discussed/measured in DIII-D – Petty et al. Nucl. Fus. 39 (1999!), 1421). Finally, another thing to look at is the impact of the HHFW current drive on the q profile and MHD avoidance. The plan is to have plasma with and without NBI (with one and two beams) using all HHFW antenna phases (k_phi = 8, 13, and 21 m^-1) with a different range of RF input power (2-4 MW).  </t>
  </si>
  <si>
    <t>Required diagnostics: Thomson scattering, CHERS, MSE-CIF/LIF, 
Desired diagnostics: ERD, SOL reflectometer, and all fast ions diagnostics</t>
  </si>
  <si>
    <t>0B5-iztf28QNJYng0djl6V3JOeEU</t>
  </si>
  <si>
    <t>https://docs.google.com/open?id=0B5-iztf28QNJYng0djl6V3JOeEU</t>
  </si>
  <si>
    <t>Doc Created @ Tue Feb 17 2015 09:22:08 GMT-0500 (EST); Doc Merged @ Tue Feb 17 2015 09:22:09 GMT-0500 (EST); Email Sent @ Tue Feb 17 2015 09:22:14 GMT-0500 (EST)(nbertell@pppl.gov,nstx-u@pppl.gov)</t>
  </si>
  <si>
    <t>0B5-iztf28QNJRzZRTTg2UnBZN2s</t>
  </si>
  <si>
    <t>https://docs.google.com/open?id=0B5-iztf28QNJRzZRTTg2UnBZN2s</t>
  </si>
  <si>
    <t>Doc Created @ Wed Feb 25 2015 05:34:09 GMT-0500 (EST); Doc Merged @ Wed Feb 25 2015 05:34:10 GMT-0500 (EST)</t>
  </si>
  <si>
    <t xml:space="preserve">HHFW absorption in Neutral-Beam heated plasmas </t>
  </si>
  <si>
    <t>M. Podestà, Deyong Liu, B. LeBlanc, R. Harvey, R. J. Perkins, J.C. Hosea, G. Taylor, G. Kramer, P. Bonoli, C. Phillips, F. Poli and J. Wilson</t>
  </si>
  <si>
    <t>ITPA Energetic particles group is interested to study the interaction between RF waves and fast ions</t>
  </si>
  <si>
    <t>The FW heating efficiency in NBI heated H-mode plasma has been challenging, and there is little data available on how much RF power is absorbed by fast and/or thermal ions. This is especially relevant for NSTX-U because (i) for ST geometry, ion acceleration to loss orbits can constitute a loss of FW and/or fast-ion power, and can be detrimental heat loads on PFCs (i.e. the HHFW antenna limiter) (ii) the increased magnetic field will reduce the harmonic number of the FW system and potentially enhance ion absorption. RF simulations show significant RF power absorption by fast ions in many cases and also large thermal ion absorption when Ti ≥ Te, with additional absorption dependence on the HHFW antenna phase in both cases. Quantifying the ion absorption is important to (a) benchmark RF codes, such as GENRAY/CQL3D (with ion orbit effects), TORIC, AORSA, and ORBIT-RF, (b) determine to what degree poor HHFW performance in beam-heated discharges is due to fast-ion absorption versus other mechanisms (e.g. SOL losse of FW power), and (c) determine the physics setting the outer gap limit in NBI discharges and to what extent this may be reduced (to increase FW coupling). 
This experiment will characterize the HHFW absorption as a function of HHFW antenna phases, magnetic field strength, and neutral-beam mix (both tangency radius and injection voltage), starting with discharges similar to 2008 FIDA experiments. To the extent possible, we will vary the Te/Ti ratio by adjusting the timing and levels of NB and FW heating. Jogs in the outer gap will be used to assess the scraping off of fast ions on the antenna limiter. Time permitting, and if appropriate, take several shots in L-mode where HHFW coupling is generally improved. HHFW power from 2 to 4 MW RF power in H-mode plasma is requested.
</t>
  </si>
  <si>
    <t>Required diagnostics: All fast-ions diagnostics, Thomson scattering, CHERS, HHFW-antenna IR camera.
Desired diagnostics: SOL reflectometer and other IR cameras</t>
  </si>
  <si>
    <t>0B5-iztf28QNJaWd1TUFyOThWNTA</t>
  </si>
  <si>
    <t>https://docs.google.com/open?id=0B5-iztf28QNJaWd1TUFyOThWNTA</t>
  </si>
  <si>
    <t>Doc Created @ Tue Feb 17 2015 09:30:57 GMT-0500 (EST); Doc Merged @ Tue Feb 17 2015 09:30:57 GMT-0500 (EST); Email Sent @ Tue Feb 17 2015 09:31:03 GMT-0500 (EST)(nbertell@pppl.gov,nstx-u@pppl.gov)</t>
  </si>
  <si>
    <t>0B5-iztf28QNJeHJlSUFpbU90RzA</t>
  </si>
  <si>
    <t>https://docs.google.com/open?id=0B5-iztf28QNJeHJlSUFpbU90RzA</t>
  </si>
  <si>
    <t>Doc Created @ Wed Feb 25 2015 05:34:19 GMT-0500 (EST); Doc Merged @ Wed Feb 25 2015 05:34:20 GMT-0500 (EST)</t>
  </si>
  <si>
    <t>Investigation of core energy transport via HHFW heating</t>
  </si>
  <si>
    <t>Neal</t>
  </si>
  <si>
    <t>Crocker</t>
  </si>
  <si>
    <t>ncrocker@physics.ucla.edu</t>
  </si>
  <si>
    <t>Nikolai Goerlenkov, Elena Belova, Kevin Tritz, Walter Guttenfelder, Yang Ren, Gary Taylor, Joel Hosea</t>
  </si>
  <si>
    <t>University of California - Los Angeles</t>
  </si>
  <si>
    <t>R(15-1), R(16-1)</t>
  </si>
  <si>
    <t>Core (rho &lt; ~ 0.4) energy transport was shown to be anomalous in NSTX beam heated plasmas.  Two mechanisms have been proposed, both involving high frequency compressional (CAE) and global (GAE) Alfvén eigenmodes excited by beam ions: (1) enhanced heat diffusion resulting from stochastization of electron orbits resonant with the modes and (2) channeling of energy from the core, where beam ions excite the modes, to the edge, where the energy is dissipated via coupling to kinetic Alfvén waves. It is proposed to investigate the energy transport mechanism using HHFW to add extra heat in the core of a high power, beam heated plasma with a flat core temperature profile.  The extra heating should be sufficently modest or broadly distributed to avoid grad-Te driven turbulence in the core. The two mechanisms lead to very different expectations for energy transport in the aftermath of the HHFW heating.  For the first mechanism, it is expected that the energy added to the electon population by HHFW will rapidly diffuse out of the core since the post-HHFW plasma will have beam-excited high frequency AEs causing enhanced thermal diffusivity. For the second mechanism, the core temperature profile will relax more slowly since the extra heat was primarily delivered to the electron population, but the AE-KAW coupling only tranports beam ion energy away from the core. In performing the experiment, it will be important to monitor for excitation of core turbulence by the HHFW heating, since that could complicate interpretation of the results.  It will also be important to monitor the fast-ion population in order to understand the heating source in the absence of HHFW.
</t>
  </si>
  <si>
    <t>Needed: CHERS.  UCLA Reflectometer arrays. MPTS. high frequency edge magnetic coils (HN and HF arrays).  High-K scattering or core DBS. FIDA, other fast-ion diagnostics
Desirable: BES, FIReTIP</t>
  </si>
  <si>
    <t>0B5-iztf28QNJb2RJYXROREdVdTg</t>
  </si>
  <si>
    <t>https://docs.google.com/open?id=0B5-iztf28QNJb2RJYXROREdVdTg</t>
  </si>
  <si>
    <t>Doc Created @ Tue Feb 17 2015 10:53:09 GMT-0500 (EST); Doc Merged @ Tue Feb 17 2015 10:53:10 GMT-0500 (EST); Email Sent @ Tue Feb 17 2015 10:53:14 GMT-0500 (EST)(ncrocker@physics.ucla.edu,nstx-u@pppl.gov)</t>
  </si>
  <si>
    <t>0B5-iztf28QNJWVZLb1NwNDlVWmc</t>
  </si>
  <si>
    <t>https://docs.google.com/open?id=0B5-iztf28QNJWVZLb1NwNDlVWmc</t>
  </si>
  <si>
    <t>Doc Created @ Wed Feb 25 2015 05:34:29 GMT-0500 (EST); Doc Merged @ Wed Feb 25 2015 05:34:29 GMT-0500 (EST)</t>
  </si>
  <si>
    <t>TAE with high ß q2</t>
  </si>
  <si>
    <t>eric@pppl.gov</t>
  </si>
  <si>
    <t>Y. Kolesnichenko</t>
  </si>
  <si>
    <t>One can expect that features of the Alfven continuum and, thus, Alfven eigenmodes and Alfven instabilities will drastically change in the regime with non-inductive current drive in NSTX-U and, possibly, in other regimes with (ß q2) &gt;1 (q is the safety factor, beta is the ratio of the plasma pressure to the magnetic field pressure).  The matter is that, as shown recently in [1,2],  when (ß q2) &gt;1, the EAE gap and some other gaps in the continuum  become very wide  and strongly dominate the frequency spectrum, so that  the conventional expressions for the characteristic frequencies of the GAM (geodesic acoustic modes), TAE (toroidicity-induced Alfven eigenmodes), EAE (ellipticity-induced Alfven eigenmodes), and NAE (noncircular triangularity induced Alfven eigenmodes) modes are no longer valid.  Moreover, when (ß q2) well exceeds unity, the frequencies of GAM, TAE, and lower branch of EAE almost coincide in the near-axis region.  Until now, nobody studied experimentally the influence of high (ß q2) on Alfven and GAM instabilities driven by energetic ions. There is also no theory, except for the mentioned papers [1,2] dealing with the continuum only.  Presumably, (ß q2) &gt; 1 may take place in NSTX-U, too.   The goal of this proposal is to study the mode frequency spectrum (GAM, TAE, EAE, NAE), the destabilization of these modes, and the influence of the destabilized modes on the confinement of fast ions and plasma performance in the regime with high  (ß q2). This will be done for the first time.  In order to reach this goal, a series of experiments should be carried out, with various magnitudes of the product (ß q2) and various injection power, which should be sufficient to excite Alfven and GAM instabilities. 
[1] O. P. Fesenyuk, Ya. I. Kolesnichenko, Yu. V. Yakovenko, Plasma Phys. Control. Fusion 54 (2012) 085014.
[2] O. P. Fesenyuk, Ya. I. Kolesnichenko, Yu. V. Yakovenko, Phys. Plasmas 20 (2013) 122503.</t>
  </si>
  <si>
    <t>High beta and q_min (&lt;2) will probably be achieved in regimes with high non-inductive fraction.
Confined and lost fast ion diagnostics are strongly desired.
BES and reflectometers would also be desired.</t>
  </si>
  <si>
    <t>0B5-iztf28QNJYnRRYUF4UnE5TUk</t>
  </si>
  <si>
    <t>https://docs.google.com/open?id=0B5-iztf28QNJYnRRYUF4UnE5TUk</t>
  </si>
  <si>
    <t>Doc Created @ Tue Feb 17 2015 11:00:18 GMT-0500 (EST); Doc Merged @ Tue Feb 17 2015 11:00:19 GMT-0500 (EST); Email Sent @ Tue Feb 17 2015 11:00:23 GMT-0500 (EST)(eric@pppl.gov,nstx-u@pppl.gov)</t>
  </si>
  <si>
    <t>0B5-iztf28QNJTDgtMDNHWUhhMEU</t>
  </si>
  <si>
    <t>https://docs.google.com/open?id=0B5-iztf28QNJTDgtMDNHWUhhMEU</t>
  </si>
  <si>
    <t>Doc Created @ Wed Feb 25 2015 05:34:39 GMT-0500 (EST); Doc Merged @ Wed Feb 25 2015 05:34:39 GMT-0500 (EST)</t>
  </si>
  <si>
    <t xml:space="preserve">Rotation effects on CAEs and GAEs </t>
  </si>
  <si>
    <t>Eric Fredrickson, Nikolai Gorelenkov, Elena Belova, Håkan Smith, Kevin Tritz, Walter Guttenfelder, David Gates</t>
  </si>
  <si>
    <t>Compressional (CAE) and global (GAE) Alfvén eigenmodes play potentially signficant roles in core energy and fast-ion transport.  Mode structure and frequency, which are key factors in determining the impact of the mode, are expected to be sensitive to toroidal rotation.  An understanding of this sensitivity is critical to developing a predictive capability for CAEs and GAEs and, ultimately, their impact on core energy and fast-ion transport.  The proposed experiment is to measure changes in the spatial structure of CAEs and GAEs as rotation is changed using n=3 braking and compare the measurements with the simulation of the mode by HYM and CAE3B.
The proposed experiment calls for a rotation scan consisting of several similar H-mode shots, with differing amounts of braking applied at the same time in each shot.  Time permitting, rotation scans at multiple values of BT and with different combinations of beams are desirable. To optimize for mode structure measurements via reflectometery, monotonic density profiles are necessary with peak density &lt; ~ 9e19 cm^-3.  Constant density is also desirable if possible, since mode structure depends on the V_Alfven profile.</t>
  </si>
  <si>
    <t>Needed: CHERS.  UCLA Reflectometer arrays. MPTS, high frequency edge magnetic coils (HN and HF arrays)
Desirable: BES, FIReTIP, FIDA, other fast-ion diagnostics</t>
  </si>
  <si>
    <t>0B5-iztf28QNJRWR0bmR4WWR4Qmc</t>
  </si>
  <si>
    <t>https://docs.google.com/open?id=0B5-iztf28QNJRWR0bmR4WWR4Qmc</t>
  </si>
  <si>
    <t>Doc Created @ Tue Feb 17 2015 11:00:30 GMT-0500 (EST); Doc Merged @ Tue Feb 17 2015 11:00:30 GMT-0500 (EST); Email Sent @ Tue Feb 17 2015 11:00:34 GMT-0500 (EST)(ncrocker@physics.ucla.edu,nstx-u@pppl.gov)</t>
  </si>
  <si>
    <t>0B5-iztf28QNJS0tTTU1pU0puMm8</t>
  </si>
  <si>
    <t>https://docs.google.com/open?id=0B5-iztf28QNJS0tTTU1pU0puMm8</t>
  </si>
  <si>
    <t>Doc Created @ Wed Feb 25 2015 05:34:49 GMT-0500 (EST); Doc Merged @ Wed Feb 25 2015 05:34:50 GMT-0500 (EST)</t>
  </si>
  <si>
    <t>Assessment of 3D field effects on the properties of the snowflake divertor</t>
  </si>
  <si>
    <t>Gustavo</t>
  </si>
  <si>
    <t>Canal</t>
  </si>
  <si>
    <t>canalg@fusion.gat.com</t>
  </si>
  <si>
    <t>T. Evans, N. Ferraro, E. Kolemen, V. Soukhanovskii, O. Schmitz and H. Frerichs</t>
  </si>
  <si>
    <t>To be able to reliability extrapolate results from existing machines toward reactor-sized devices, the predictive capabilities of the present MHD and transport code models have to be improved. This experiment is being proposed in order to acquire data that can be used to validate the physical models in some of these codes. In this proposal, the particle and heat deposition pattern on the divertor plates of NSTX-U, measured during discharges with externally applied 3D perturbations, will be compared with those simulated using the transport code EMC3-Eirene. In order to evaluate the plasma response to these perturbations, the EMC3-Eirene will be run on computational grids generated using both the M3D-C1 and NIMROD codes. Since these MHD models are complementary, and with strength on different physics aspects, they can provide a better insight into the plasma response to externally applied perturbations. Experimental data during L- and H-mode discharges with various plasma densities are desired in order to have data at different SOL regimes: sheath limited, high recycling, cushioning (SOL electron temperature between 5 eV and 1 eV) and detachment. Studies in LSN and snowflake diverted plasmas are of interest. Since new physics effects are expected to become important in the snowflake divertor, this configuration will be used to challenge our models with the hope that this could lead to an improved understanding of the influence of 3D fields on tokamak plasmas.</t>
  </si>
  <si>
    <t>Desirable Diagnostics: Calibrated high-n array magnetics (compensated for n = 3 EFCC/RWM fields), toroidal array of Bp and Br, plasma TV, divertor IR and CCD, target Langmuir probes, toroidal and poloidal CHERS, edge recycling and impurity, MSE, BES, Thomson scattering, reflectometry, line density, edge SXR array, edge Doppler spectroscopy, toroidal bolometer array, quadrature reflectometer, shunt tile array (set for high gain) and visible continuum sensor.</t>
  </si>
  <si>
    <t>0B5-iztf28QNJNGlqUU5WNjRuaHM</t>
  </si>
  <si>
    <t>https://docs.google.com/open?id=0B5-iztf28QNJNGlqUU5WNjRuaHM</t>
  </si>
  <si>
    <t>Doc Created @ Tue Feb 17 2015 21:20:08 GMT-0500 (EST); Doc Merged @ Tue Feb 17 2015 21:20:09 GMT-0500 (EST); Email Sent @ Tue Feb 17 2015 21:20:14 GMT-0500 (EST)(canalg@fusion.gat.com,nstx-u@pppl.gov)</t>
  </si>
  <si>
    <t>0B5-iztf28QNJX1hSUnBTRVRmM0E</t>
  </si>
  <si>
    <t>https://docs.google.com/open?id=0B5-iztf28QNJX1hSUnBTRVRmM0E</t>
  </si>
  <si>
    <t>Doc Created @ Wed Feb 25 2015 05:34:59 GMT-0500 (EST); Doc Merged @ Wed Feb 25 2015 05:35:00 GMT-0500 (EST)</t>
  </si>
  <si>
    <t>Massive Gas Injection Studies on NSTX-U</t>
  </si>
  <si>
    <t>S.P. Gerhardt, D. Mueller, many others</t>
  </si>
  <si>
    <t>2016 JRT, R16-1</t>
  </si>
  <si>
    <t>At present, massive gas injection (MGI) appears to be the most promising method for safely terminating most discharges in ITER. MGI involves the rapid injection of large quantities of gas into the tokamak discharge; the quantity of gas is typically several times the inventory of the plasma discharge. Both tokamaks and STs carry substantial amounts of toroidal current, and so have the possibility of disrupting. An unmitigated major disruption is a very severe event that can damage internal vessel components.
NSTX-U will have the capability for Massive Gas Injection (MGI) from three poloidal locations. For any given experiment the mid-plane injection configuration could be made identical to either the top of the bottom gas injection conditions, making it, at present, a unique machine on which to conduct these poloidal injection comparison experiments. The initial goal of these MGI experiments on NSTX-U will be to compare the gas penetration efficiency as gas is injected from the three different poloidal locations. These are (1) the private flux region, (2) the mid-plane region, (3) high-field side outer SOL region, high-field side inner SOL region and (4) outer SOL region above the mid-plane. A second objective is to determine the uniformity of the radiated power profile. The third objective is to assess the reduction in divertor heat loads and halo currents, and to compare these to unmitigated disruptions. High and low triangularity discharges at BT ~0.4T will be run to provide the plasma target for these experiments.
</t>
  </si>
  <si>
    <t>Reliable plasma at BT ~ 0.4 to 0.45T, Ip &gt; 700 kA, in LSN &amp; USN or DN, in Low and High triangularity are required. 
Approximately 200 Torr.L of Ne will be injected during a shot. 
A number of diagnostics need to be tested during an MGI XMP that will precede this experiment.
Reproducible shots (with/without Li - TBD)</t>
  </si>
  <si>
    <t>0B5-iztf28QNJdG4yVEtnVFR5SU0</t>
  </si>
  <si>
    <t>https://docs.google.com/open?id=0B5-iztf28QNJdG4yVEtnVFR5SU0</t>
  </si>
  <si>
    <t>Doc Created @ Tue Feb 17 2015 17:53:04 GMT-0500 (EST); Doc Merged @ Tue Feb 17 2015 17:53:05 GMT-0500 (EST); Email Sent @ Tue Feb 17 2015 17:53:12 GMT-0500 (EST)(raman@aa.washington.edu,nstx-u@pppl.gov)</t>
  </si>
  <si>
    <t>0B5-iztf28QNJUHpfRFVNNlBLY00</t>
  </si>
  <si>
    <t>https://docs.google.com/open?id=0B5-iztf28QNJUHpfRFVNNlBLY00</t>
  </si>
  <si>
    <t>Doc Created @ Wed Feb 25 2015 05:35:10 GMT-0500 (EST); Doc Merged @ Wed Feb 25 2015 05:35:10 GMT-0500 (EST)</t>
  </si>
  <si>
    <t>Transient CHI Plasma Start-up in NSTX-U</t>
  </si>
  <si>
    <t>FY17 milestone, NI RampUP</t>
  </si>
  <si>
    <t>Solenoid-free plasma start-up, non-inductive current ramp-up, and sustained NI operations are major NSTX-U objectives. Transient CHI plasma generation is the first part of this programmatically important sequence. We will apply the “Transient CHI” scheme developed in HIT-II and NSTX to demonstrate persistent toroidal current in NSTX-U, following a pulse of coaxial helicity injection (CHI) applied with a capacitor bank. The hardware configuration of CHI on NSTX-U is different from that on NSTX. Thus, the first experiments will re-establish transient CHI start-up capability. Once this is accomplished, the numerous hardware improvements on NSTX will be used to increase the closed flux current magnitude to the extent possible, and with acceptable levels of low-Z impurities. The initial discharges will be with the TF at 0.5T, and this will be gradually increased to the maximum levels permitted. The injector flux is an important parameter, as it is directly proportional to the amount of closed poloidal flux the transient CHI discharge contains. The injector flux will be systematically increased using the PF1CL coil, while the currents in the other nearby coils will be adjusted to maintain a sufficiently narrow flux footprint width. Full Li coverage of the lower divertor plates (and if possible of the upper divertor plates) is desired to reduce the level of low-Z impurities. The eventual goal of these experiments is to genrate closed flux currents of about 400kA, which is necessary for eventual coupling of these plasmas to non-inductive current drive methods.</t>
  </si>
  <si>
    <t>CHI capacitor bank tested and fully operational.
CHI cap bank operator.
Lower CHI gas injectors.
MOVs rated to support at least 2kV operations.
Divertor Li coating capability.
NSTX-U machine that is able to reliably generate 1MA discharges with low levels of surface impurities.</t>
  </si>
  <si>
    <t>0B5-iztf28QNJaE12U3VEVDljRjQ</t>
  </si>
  <si>
    <t>https://docs.google.com/open?id=0B5-iztf28QNJaE12U3VEVDljRjQ</t>
  </si>
  <si>
    <t>Doc Created @ Tue Feb 17 2015 18:18:24 GMT-0500 (EST); Doc Merged @ Tue Feb 17 2015 18:18:25 GMT-0500 (EST); Email Sent @ Tue Feb 17 2015 18:18:30 GMT-0500 (EST)(raman@aa.washington.edu,nstx-u@pppl.gov)</t>
  </si>
  <si>
    <t>0B5-iztf28QNJeEtJbUFDckF6eE0</t>
  </si>
  <si>
    <t>https://docs.google.com/open?id=0B5-iztf28QNJeEtJbUFDckF6eE0</t>
  </si>
  <si>
    <t>Doc Created @ Wed Feb 25 2015 05:35:19 GMT-0500 (EST); Doc Merged @ Wed Feb 25 2015 05:35:20 GMT-0500 (EST)</t>
  </si>
  <si>
    <t>Why do some fast-ion driven modes chirp?</t>
  </si>
  <si>
    <t>Bill</t>
  </si>
  <si>
    <t>Heidbrink</t>
  </si>
  <si>
    <t>wwheidbr@uci.edu</t>
  </si>
  <si>
    <t>EP group</t>
  </si>
  <si>
    <t>15-2</t>
  </si>
  <si>
    <t>Some fast-ion instabilities "saturate" in steady burbling &amp; could possibly be described by a critical gradient model but others have impulsive bursts that could deposit concentrated heat loads in future devices.  The former is common in DIII-D; the latter was common in NSTX. Nobody knows why.  A similarity experiment with DIII-D will test if this difference persists in NSTX-U.  If it does, we will document conditions in both devices for analysis by theoretical collaborators.  If it does not, we will scan parameters down to NSTX levels to recover chirping.</t>
  </si>
  <si>
    <t>0B5-iztf28QNJMEdLaTVfSUluMkE</t>
  </si>
  <si>
    <t>https://docs.google.com/open?id=0B5-iztf28QNJMEdLaTVfSUluMkE</t>
  </si>
  <si>
    <t>Doc Created @ Tue Feb 17 2015 21:00:52 GMT-0500 (EST); Doc Merged @ Tue Feb 17 2015 21:00:53 GMT-0500 (EST); Email Sent @ Tue Feb 17 2015 21:00:58 GMT-0500 (EST)(wwheidbr@uci.edu,nstx-u@pppl.gov)</t>
  </si>
  <si>
    <t>0B5-iztf28QNJVFA2WTVIWm9mcVU</t>
  </si>
  <si>
    <t>https://docs.google.com/open?id=0B5-iztf28QNJVFA2WTVIWm9mcVU</t>
  </si>
  <si>
    <t>Doc Created @ Wed Feb 25 2015 05:35:29 GMT-0500 (EST); Doc Merged @ Wed Feb 25 2015 05:35:30 GMT-0500 (EST)</t>
  </si>
  <si>
    <t>AE Critical Gradient</t>
  </si>
  <si>
    <t>Critical gradient models hold promise as a predictive tool for fast-ion transport in future devices. The experiment will compare successful DIII-D experiments with NSTX data to test whether the same physics is operative in STs.  A modulated source is used to measure the incremental fast-ion flux.  A power scan of other sources varies the severity of Alfven eigenmode activity.</t>
  </si>
  <si>
    <t>0B5-iztf28QNJZGQ2NXdWTVlpRE0</t>
  </si>
  <si>
    <t>https://docs.google.com/open?id=0B5-iztf28QNJZGQ2NXdWTVlpRE0</t>
  </si>
  <si>
    <t>Doc Created @ Tue Feb 17 2015 21:06:22 GMT-0500 (EST); Doc Merged @ Tue Feb 17 2015 21:06:23 GMT-0500 (EST); Email Sent @ Tue Feb 17 2015 21:06:27 GMT-0500 (EST)(wwheidbr@uci.edu,nstx-u@pppl.gov)</t>
  </si>
  <si>
    <t>0B5-iztf28QNJVTk0bHlCSUd4WHc</t>
  </si>
  <si>
    <t>https://docs.google.com/open?id=0B5-iztf28QNJVTk0bHlCSUd4WHc</t>
  </si>
  <si>
    <t>Doc Created @ Wed Feb 25 2015 05:35:38 GMT-0500 (EST); Doc Merged @ Wed Feb 25 2015 05:35:39 GMT-0500 (EST)</t>
  </si>
  <si>
    <t>Light ion beam probe of Alfven eigenmode transport</t>
  </si>
  <si>
    <t>The goal of this experiment is to obtain an accurate measurement of the transport caused by individual Alfven eigenmodes.  A prompt loss orbit is arranged to pass close to the SLIP.  AEs perturb the orbit.  Calculations yield the radial kick in a single pass through the mode.</t>
  </si>
  <si>
    <t>The SLIP detector needs to have a high enough bandwidth to detect oscillations at the mode frequency.</t>
  </si>
  <si>
    <t>0B5-iztf28QNJY3dlRjhwcmNYVEU</t>
  </si>
  <si>
    <t>https://docs.google.com/open?id=0B5-iztf28QNJY3dlRjhwcmNYVEU</t>
  </si>
  <si>
    <t>Doc Created @ Tue Feb 17 2015 21:10:57 GMT-0500 (EST); Doc Merged @ Tue Feb 17 2015 21:10:58 GMT-0500 (EST); Email Sent @ Tue Feb 17 2015 21:11:03 GMT-0500 (EST)(wwheidbr@uci.edu,nstx-u@pppl.gov)</t>
  </si>
  <si>
    <t>0B5-iztf28QNJbHlLN3VzSEFaajg</t>
  </si>
  <si>
    <t>https://docs.google.com/open?id=0B5-iztf28QNJbHlLN3VzSEFaajg</t>
  </si>
  <si>
    <t>Doc Created @ Wed Feb 25 2015 05:35:51 GMT-0500 (EST); Doc Merged @ Wed Feb 25 2015 05:35:51 GMT-0500 (EST)</t>
  </si>
  <si>
    <t>Ex-situ IBA of targets with implanted depth markers</t>
  </si>
  <si>
    <t>Graham</t>
  </si>
  <si>
    <t>Wright</t>
  </si>
  <si>
    <t>wright@psfc.mit.edu</t>
  </si>
  <si>
    <t>Zach Hartwig</t>
  </si>
  <si>
    <t>Massachusetts Institute of Technology</t>
  </si>
  <si>
    <t>Materials and PFCs (MP)</t>
  </si>
  <si>
    <t>Thrusts MP-1 and MP-2 from 5-year plan</t>
  </si>
  <si>
    <t>CLASS (MIT) is home to a Cockroft-Walton 1.7 MV tandem accelerator as well as a 1.5 MV deuteron tandem accelerator (DANTE). We propose ex-situ ion beam analysis of targets inserted and removed from NSTX-U via MAPP with both “traditional” ion beam analysis (IBA) methods and deuteron IBA methods. This can yield data such as Li layer thickness, Li2O layer thickness, D retention and Li-C intermixing as a functions of depth, and at the same time cross-calibrate and refine data and analysis methods and demonstrate the capabilities of an AIMS diagnostic system on NSTX-U. Implanted ion depth markers are also proposed to study net erosion/deposition rates. The selected depth marker ions for implantation are Be and F as these are sensitive to both traditional and deuteron IBA methods. This will not only provide valuable net erosion/deposition data at the MAPP location, but also demonstrate the potential synergy between AIMS and implanted depth markers, which could provide shot-by-shot in-situ tracking of net erosion/deposition at many different locations within the tokamak.
While MAPP gives the ability to control exposure times in NSTX-U, IBA on NSTX-U tiles at other locations post-campaign also yields useful campaign integrated/long exposure surface and material behaviors. A single run day of operations where we would have control over divertor conditions would allow for a more systematic data set to be established, but, by using the MAPP system for target insertion and removal, this proposal can piggy-back on a wide range of other rundays and is very non-invasive. Since IBA is non-perturbing and deals mostly with the sub-surface it is also very complimentary to the MAPP diagnostics and IBA can be performed after in-situ surface analysis with MAPP (excluding thermal desorption spectroscopy). The IBA work can start immediately even on NSTX tiles from previous campaigns.</t>
  </si>
  <si>
    <t>Samples will be inserted and removed via MAPP system, so MAPP must be operational and accessible</t>
  </si>
  <si>
    <t>0B5-iztf28QNJR3ZvVUlGNUpTN2M</t>
  </si>
  <si>
    <t>https://docs.google.com/open?id=0B5-iztf28QNJR3ZvVUlGNUpTN2M</t>
  </si>
  <si>
    <t>Doc Created @ Wed Feb 18 2015 09:30:51 GMT-0500 (EST); Doc Merged @ Wed Feb 18 2015 09:30:51 GMT-0500 (EST); Email Sent @ Wed Feb 18 2015 09:30:56 GMT-0500 (EST)(wright@psfc.mit.edu,nstx-u@pppl.gov)</t>
  </si>
  <si>
    <t>0B5-iztf28QNJVUhpZVRzdUFsdEU</t>
  </si>
  <si>
    <t>https://docs.google.com/open?id=0B5-iztf28QNJVUhpZVRzdUFsdEU</t>
  </si>
  <si>
    <t>Doc Created @ Wed Feb 25 2015 05:36:02 GMT-0500 (EST); Doc Merged @ Wed Feb 25 2015 05:36:02 GMT-0500 (EST)</t>
  </si>
  <si>
    <t>Real-time error field control using extremum seeking in NSTX-U</t>
  </si>
  <si>
    <t>Matthew</t>
  </si>
  <si>
    <t>Lanctot</t>
  </si>
  <si>
    <t>lanctot@fusion.gat.com</t>
  </si>
  <si>
    <t>Dan Boyer, D. Humphreys,  Rob La Haye,  Erik Olofsson, Jong-Kyu Park, Steve Sabbagh</t>
  </si>
  <si>
    <t>Joint experiment in ITPA MHD group (MDC-19), possible 3D field control method for access to reduced collisionality and high beta</t>
  </si>
  <si>
    <t>Deploy a new real-time algorithm for multi-harmonic 3D field optimization in  NSTX-U.  A new dynamic error field control algorithm based on extremum seeking control methods has been developed in DIII-D.  The algorithm seeks to maximize the plasma toroidal rotation over the space of low-n (n=1,2,3) control coil currents.  The potentially time-varying optimal coil currents are identified by signal processing the plasma rotation response to small magnetic perturbations (a dither) in order to extract the gradient of the rotation with respect to the coil currents.  The approach offers some advantages over existing dynamic error field algorithms including robust convergence, direct optimization of an n=0 performance metric, and no reliance on a complex system model.   This experiment will complete the commissioning of the algorithm on NSTX-U and will use it to identify optimal error field compensation in high beta H-mode plasmas at low collisionality.  The results will be compared with existing methods. Magnetic plasma response measurements are obtained in parallel so this experiment could be merged with other plasma response studies. (One notable difference would be that the coil current offsets are not pre-programmed, but are under PCS control.)</t>
  </si>
  <si>
    <t>(1) Implement algorithm in NSTX-U PCS. (2) Experiment should follow commissioning of real-time rotation algorithm in PCS. (3) Independent control of six RWM coils would allow optimization of multiple toroidal harmonics in a single discharge (depending on convergence properties in NSTX-U and pulse length), however single-n studies can be pursued with 3 independent coil circuits.</t>
  </si>
  <si>
    <t>0B5-iztf28QNJbTdyeWc3b2ZYNjA</t>
  </si>
  <si>
    <t>https://docs.google.com/open?id=0B5-iztf28QNJbTdyeWc3b2ZYNjA</t>
  </si>
  <si>
    <t>Doc Created @ Wed Feb 18 2015 10:56:50 GMT-0500 (EST); Doc Merged @ Wed Feb 18 2015 10:56:50 GMT-0500 (EST); Email Sent @ Wed Feb 18 2015 10:56:54 GMT-0500 (EST)(lanctot@fusion.gat.com,nstx-u@pppl.gov)</t>
  </si>
  <si>
    <t>0B5-iztf28QNJOHJ0QmwyYjVzaG8</t>
  </si>
  <si>
    <t>https://docs.google.com/open?id=0B5-iztf28QNJOHJ0QmwyYjVzaG8</t>
  </si>
  <si>
    <t>Doc Created @ Wed Feb 25 2015 05:36:13 GMT-0500 (EST); Doc Merged @ Wed Feb 25 2015 05:36:13 GMT-0500 (EST)</t>
  </si>
  <si>
    <t>Parallel Correlation of SOL Turbulence</t>
  </si>
  <si>
    <t>Stewart</t>
  </si>
  <si>
    <t>Zweben</t>
  </si>
  <si>
    <t>szweben@pppl.gov</t>
  </si>
  <si>
    <t xml:space="preserve"> F. Scotti, T. Gray, M. Jaworski, S. Kubota,  R. Maqueda, N. Mandell, D. Smith, V. Soukhanovskii, D.A. D’Ippolito, J.R. Myra, D.A. Russell, C.S. Chang, R. Hager, M. Churchill, S. Ku, D. Stotler</t>
  </si>
  <si>
    <t>Goal:  
	Better understand the contribution of SOL turbulence and blobs to the SOL width, in part through theory and simulation
Method:
	Measure the parallel (i.e. 3-D) structure of SOL turbulence and blobs using all available edge fluctuation diagnostics, and compare results with SOL widths, theory and simulation
</t>
  </si>
  <si>
    <t>see pdf to be presented in div/sol parallel session</t>
  </si>
  <si>
    <t>0B5-iztf28QNJbkRHanl2UW1XMjA</t>
  </si>
  <si>
    <t>https://docs.google.com/open?id=0B5-iztf28QNJbkRHanl2UW1XMjA</t>
  </si>
  <si>
    <t>Doc Created @ Wed Feb 18 2015 12:30:06 GMT-0500 (EST); Doc Merged @ Wed Feb 18 2015 12:30:07 GMT-0500 (EST); Email Sent @ Wed Feb 18 2015 12:30:12 GMT-0500 (EST)(szweben@pppl.gov,nstx-u@pppl.gov)</t>
  </si>
  <si>
    <t>0B5-iztf28QNJSnBVN1lZUWhVcTg</t>
  </si>
  <si>
    <t>https://docs.google.com/open?id=0B5-iztf28QNJSnBVN1lZUWhVcTg</t>
  </si>
  <si>
    <t>Doc Created @ Wed Feb 25 2015 05:36:22 GMT-0500 (EST); Doc Merged @ Wed Feb 25 2015 05:36:23 GMT-0500 (EST)</t>
  </si>
  <si>
    <t>Optimization of vertical control algorithm</t>
  </si>
  <si>
    <t>S. Gerhardt, D. Gates, S. Sabbagh, E. Kolemen, D. Mueller, D. Battaglia</t>
  </si>
  <si>
    <t>Operation at high elongation and larger aspect ratio will make vertical stabilization a more challenging problem on NSTX-U.  This XP will study the highest achievable elongation as a function of li, by varying the current ramp rate and the ISOFLUX target shape. It is desired to split this XP into 3 half day experiments. Initial results will be used to determine the primary cause for loss of stability: controller tuning, actuator bandwidth, measurement noise, latency, actuator saturation, ELMs, etc. Initial results will also be used to verify/identify control-oriented models of the vertical instability to enable offline testing. Necessary corrections (re-tuning of controller gains, inclusion of additional coils in vertical stability loop, observer optimization, etc) will be determined offline and be tested in the subsequent half day experiments.</t>
  </si>
  <si>
    <t>Need the updated PCS code for vertical stability debugged offline (code may require updates between experiment days depending on necessary corrective action). It is desired to split this XP into 3 half day experiments.</t>
  </si>
  <si>
    <t>0B5-iztf28QNJQmRjLTZNZ01Kbkk</t>
  </si>
  <si>
    <t>https://docs.google.com/open?id=0B5-iztf28QNJQmRjLTZNZ01Kbkk</t>
  </si>
  <si>
    <t>Doc Created @ Wed Feb 18 2015 12:36:47 GMT-0500 (EST); Doc Merged @ Wed Feb 18 2015 12:36:49 GMT-0500 (EST); Email Sent @ Wed Feb 18 2015 12:36:54 GMT-0500 (EST)(mboyer@pppl.gov,nstx-u@pppl.gov)</t>
  </si>
  <si>
    <t>0B5-iztf28QNJZENDMUhEdU96U3M</t>
  </si>
  <si>
    <t>https://docs.google.com/open?id=0B5-iztf28QNJZENDMUhEdU96U3M</t>
  </si>
  <si>
    <t>Doc Created @ Wed Feb 25 2015 05:36:32 GMT-0500 (EST); Doc Merged @ Wed Feb 25 2015 05:36:33 GMT-0500 (EST)</t>
  </si>
  <si>
    <t>Combined betaN and li feedback control</t>
  </si>
  <si>
    <t>S. Gerhardt, D. Gates, E. Koleman, D. Mueller, D. Battaglia</t>
  </si>
  <si>
    <t>15-2,15-3</t>
  </si>
  <si>
    <t>In order to operate safely near stability boundaries and to enable controlled experiments where other parameters are varied at fixed betaN and/or li, feedback control laws for simultaneous control of betaN and li will be tested. Plasma current, total and/or individual beam powers, and mid-plane outer gap size will be considered as actuators. Control during both the ramp-up and flattop phases will be considered. Initial testing scenarios will be guided by the results of TRANSP results and/or scoping studies performed using the 2nd neutral beam. Results will be compared to predictions of closed loop TRANSP simulations to verify the predictive capability of these simulations.</t>
  </si>
  <si>
    <t>Need the updated PCS code for the control algorithm debugged offline. PCS control of beams and rtEFIT are required. Parts of this XP could be spread over multiple days.</t>
  </si>
  <si>
    <t>0B5-iztf28QNJbHdvUHdWNXVlblE</t>
  </si>
  <si>
    <t>https://docs.google.com/open?id=0B5-iztf28QNJbHdvUHdWNXVlblE</t>
  </si>
  <si>
    <t>Doc Created @ Wed Feb 18 2015 12:42:39 GMT-0500 (EST); Doc Merged @ Wed Feb 18 2015 12:42:40 GMT-0500 (EST); Email Sent @ Wed Feb 18 2015 12:42:49 GMT-0500 (EST)(mboyer@pppl.gov,nstx-u@pppl.gov)</t>
  </si>
  <si>
    <t>0B5-iztf28QNJUTZQWWZJUjZtTHc</t>
  </si>
  <si>
    <t>https://docs.google.com/open?id=0B5-iztf28QNJUTZQWWZJUjZtTHc</t>
  </si>
  <si>
    <t>Doc Created @ Wed Feb 25 2015 05:36:43 GMT-0500 (EST); Doc Merged @ Wed Feb 25 2015 05:36:43 GMT-0500 (EST)</t>
  </si>
  <si>
    <t>rampdown studies</t>
  </si>
  <si>
    <t xml:space="preserve">Francesca </t>
  </si>
  <si>
    <t>ITPA - plasma rampdown and termination</t>
  </si>
  <si>
    <t>inform ITER on ramp-down and termination. This includes:
1) H-L transition (assisted by NB and/or RF).
2) Greenwald fraction
3) impurity accumulation
</t>
  </si>
  <si>
    <t>MSE, CHERS with 2nd beamline, spectroscopy.</t>
  </si>
  <si>
    <t>0B5-iztf28QNJTUV1dHRIeVIwazg</t>
  </si>
  <si>
    <t>https://docs.google.com/open?id=0B5-iztf28QNJTUV1dHRIeVIwazg</t>
  </si>
  <si>
    <t>Doc Created @ Wed Feb 18 2015 13:29:39 GMT-0500 (EST); Doc Merged @ Wed Feb 18 2015 13:29:40 GMT-0500 (EST); Email Sent @ Wed Feb 18 2015 13:29:50 GMT-0500 (EST)(fpoli@pppl.gov,nstx-u@pppl.gov)</t>
  </si>
  <si>
    <t>0B5-iztf28QNJUU42czNjR3RHcnc</t>
  </si>
  <si>
    <t>https://docs.google.com/open?id=0B5-iztf28QNJUU42czNjR3RHcnc</t>
  </si>
  <si>
    <t>Doc Created @ Wed Feb 25 2015 05:36:52 GMT-0500 (EST); Doc Merged @ Wed Feb 25 2015 05:36:52 GMT-0500 (EST)</t>
  </si>
  <si>
    <t>RF-NB interaction at low current</t>
  </si>
  <si>
    <t xml:space="preserve">francesca </t>
  </si>
  <si>
    <t>poli</t>
  </si>
  <si>
    <t>non-inductive rampup</t>
  </si>
  <si>
    <t xml:space="preserve">change phasing of HHFW antenna and combine to NBI. Aim: broaden IC current profiles and reduce absorption to Fast Ions. Model validation of RF codes. </t>
  </si>
  <si>
    <t>CHERS if use 2nd beamline, MSE, spectroscopy</t>
  </si>
  <si>
    <t>0B5-iztf28QNJTHR6SGZrblJYTE0</t>
  </si>
  <si>
    <t>https://docs.google.com/open?id=0B5-iztf28QNJTHR6SGZrblJYTE0</t>
  </si>
  <si>
    <t>Doc Created @ Wed Feb 18 2015 13:34:18 GMT-0500 (EST); Doc Merged @ Wed Feb 18 2015 13:34:19 GMT-0500 (EST); Email Sent @ Wed Feb 18 2015 13:34:23 GMT-0500 (EST)(fpoli@pppl.gov,nstx-u@pppl.gov)</t>
  </si>
  <si>
    <t>0B5-iztf28QNJX0dLb1dUWW82NGM</t>
  </si>
  <si>
    <t>https://docs.google.com/open?id=0B5-iztf28QNJX0dLb1dUWW82NGM</t>
  </si>
  <si>
    <t>Doc Created @ Wed Feb 25 2015 05:37:02 GMT-0500 (EST); Doc Merged @ Wed Feb 25 2015 05:37:02 GMT-0500 (EST)</t>
  </si>
  <si>
    <t>Inductive Flux Savings of Inductively-driven Transient CHI Plasmas</t>
  </si>
  <si>
    <t>Brian</t>
  </si>
  <si>
    <t>Nelson</t>
  </si>
  <si>
    <t>nelson@ee.washington.edu</t>
  </si>
  <si>
    <t>R. Raman, D. Mueller</t>
  </si>
  <si>
    <t>Contributes to FY17 milestone, and full NI operations.</t>
  </si>
  <si>
    <t>Solenoid-free plasma start-up, non-inductive current ramp-up, and sustained NI operations are major NSTX-U objectives. Transient CHI plasma generation is the first part of this programmatically important sequence.
Transient CHI generated plasmas with &gt;200 kA will be driven inductively using the central solenoid. The primary objective is to ramp them to high current (~1 MA) and assess the savings in inductive flux, and to compare these results to those obtained on NSTX. The current ramp-up methods developed on NSTX for the CHI plasmas will be applied to the NSTX-U CHI plasmas. For these experiments, a zero pre-charge in the solenoid will be initially used, but some pre-charge may be added after establishing flux savings in zero pre-charge cases. Because of the higher-temperature bakeout possible on NSTX-U, and the capability for full Li coverage, higher levels of flux savings are anticipated on NSTX-U, due to reduced levels of low-Z impurities. Flux savings is a measure of the quality of the CHI seed plasma, and its successful coupling to induction is a pre-requisite, before these plasmas can be directly coupled to NI current drive systems, as is desired to meet the eventual goal of full non-inductive current ramp-up and sustainment.</t>
  </si>
  <si>
    <t>CHI capacitor bank tested and fully operational.
CHI cap bank operator.
Lower CHI gas injectors.
MOVs rated to support at least 2kV operations.
Divertor Li coating capability.
NSTX-U machine that is able to reliably generate 1 MA discharges with low levels of surface impurities.</t>
  </si>
  <si>
    <t>0B5-iztf28QNJT2dRRkw4akpRZ2M</t>
  </si>
  <si>
    <t>https://docs.google.com/open?id=0B5-iztf28QNJT2dRRkw4akpRZ2M</t>
  </si>
  <si>
    <t>Doc Created @ Wed Feb 18 2015 13:53:11 GMT-0500 (EST); Doc Merged @ Wed Feb 18 2015 13:53:18 GMT-0500 (EST); Email Sent @ Wed Feb 18 2015 13:53:21 GMT-0500 (EST)(nelson@ee.washington.edu,nstx-u@pppl.gov)</t>
  </si>
  <si>
    <t>0B5-iztf28QNJZWlQYkk5WDlUcE0</t>
  </si>
  <si>
    <t>https://docs.google.com/open?id=0B5-iztf28QNJZWlQYkk5WDlUcE0</t>
  </si>
  <si>
    <t>Doc Created @ Wed Feb 25 2015 05:37:13 GMT-0500 (EST); Doc Merged @ Wed Feb 25 2015 05:37:14 GMT-0500 (EST)</t>
  </si>
  <si>
    <t xml:space="preserve"> Perturbative particle transport experiment with SGI in NSTX-U L and H-mode plasmas</t>
  </si>
  <si>
    <t xml:space="preserve">Yang </t>
  </si>
  <si>
    <t>Ren</t>
  </si>
  <si>
    <t>yren@pppl.gov</t>
  </si>
  <si>
    <t>W. Guttenfelder, S.M. Kaye, A. Diallo, S. Kubota, J. Lang, B.P. LeBlanc, R.E. Bell, V. Soukhanovskii, D.R. Smith, W. Wang, H. Yuh</t>
  </si>
  <si>
    <t>Particle transport in STs is not well understood, and its understanding is important for predicting density profile for future devices, e.g. to correctly predict bootstrap current. Recent particle balance analysis in NSTX L-mode plasmas shows that particle transport is close to neoclassical level in the core (r/a&lt;~0.5) and seems to be somewhat decoupled with ion thermal transport.  However, particle balance analysis at r/a&gt;0.6 is very uncertain due to the unknown of neutral particle source. In addition, particle balance analysis cannot separate particle diffusion and pinch. These concerns signify the need of a better way of measuring particle transport. Perturbative particle transport measurement has been established in conventional tokamaks: density perturbation resulting from repetitive gas puff is measured by reflectometry, and particle diffusivity and pinch are inferred from the amplitude and phase of the induced density perturbations. 
NSTX-U has a fast gas puff system (SGI) and with appropriate modulation cycle, NSTX-U’s multi-point Thomson scattering system can be used to measure density perturbations (DIII-D Thomson scattering system has recently been used in density perturbation experiment as well). Thus it is of interest to conduct perturbative particle transport experiments on NSTX-U to assess the mechanisms (neoclassical or turbulent) underlying particle transport coupled with low-k turbulence measurements (BES, reflectometry etc.). The plan is to start with MHD-quiescent long-pulse NBI-heated L-mode plasmas (similar to shot 141716). Toroidal field and plasma current scan (maybe coupled with 2nd NBI) will be carried out to change neoclassical/turbulent transport. If time permits and MHD-quiescent long-pulse NBI-heated H-mode plasmas are achieved, particle transport with 3D fields and in H-mode plasmas will also be investigated. 
</t>
  </si>
  <si>
    <t>Achieve MHD-quiescent long-pulse NBI-heated L-mode plasmas
SGI, MPTS, CHERS, MSE, BES, reflectometer and other diagnostics required for conducting TRANSP analysis
</t>
  </si>
  <si>
    <t>0B5-iztf28QNJNXJXQUxoN2wyZU0</t>
  </si>
  <si>
    <t>https://docs.google.com/open?id=0B5-iztf28QNJNXJXQUxoN2wyZU0</t>
  </si>
  <si>
    <t>Doc Created @ Wed Feb 18 2015 21:10:43 GMT-0500 (EST); Doc Merged @ Wed Feb 18 2015 21:10:43 GMT-0500 (EST); Email Sent @ Wed Feb 18 2015 21:10:51 GMT-0500 (EST)(yren@pppl.gov,nstx-u@pppl.gov)</t>
  </si>
  <si>
    <t>0B5-iztf28QNJRWhweWhOWmFUMzA</t>
  </si>
  <si>
    <t>https://docs.google.com/open?id=0B5-iztf28QNJRWhweWhOWmFUMzA</t>
  </si>
  <si>
    <t>Doc Created @ Wed Feb 25 2015 05:37:23 GMT-0500 (EST); Doc Merged @ Wed Feb 25 2015 05:37:23 GMT-0500 (EST)</t>
  </si>
  <si>
    <t>Validation of gyrokinetic codes in NSTX-U NBI-heated L-mode plasmas</t>
  </si>
  <si>
    <t>Validation of first-principle gyrokinetic codes is important for our ultimate goal of achieving predictive capabilities for future devices. The validation should not only compare transport level between experiments and nonlinear gyrokinetic simulations, but also compare fluctuations through synthetic diagnostics. L-mode plasmas offer some favorable properties to facilitate this study: easier to obtain stationary profiles; easier to maintain MHD quiescence; no complications from edge transport barrier. Here we present an experimental proposal for a comprehensive validation study of gyrokinetic codes in NSTX-U NBI-heated L-mode plasmas. The plan is to exploit MHD-quiescent quasi-stationary NBI-heated L-mode plasmas (similar to shot 141716). Toroidal field and plasma current scan (maybe coupled with 2nd NBI) will be carried out to change neoclassical/turbulent transport. If time permits, shaping effects, e.g. elongation, on plasma confinement and turbulence will also be assessed. In particular, if long-pulse MHD-quiescent quasi-stationary NBI-heated L-mode plasmas are achieved earlier in the run, this experiment could share shots with the perturbative particle transport experiment because of similar Bt and Ip scans. The experimental measurements will be compared with GYRO, GTS and XGC1 nonlinear simulations through TRANSP analysis and synthetic diagnostics.  The experiments will also allow us to assess L-mode transport shortfall seen in DIII-D L-mode plasmas (not yet seen in a set of NSTX L-mode plasmas) under different conditions, e.g. different q profile. Furthermore, this experiment will also provide a database for developing reduced transport models, e.g. TGLF, for NSTX-U parameter regimes. Cross-code comparison will also be carried out.</t>
  </si>
  <si>
    <t>Achieve MHD-quiescent quasi-stationary NBI-heated L-mode plasmas
MPTS, CHERS, MSE, BES, reflectometer and other diagnostics required for conducting TRANSP analysis
</t>
  </si>
  <si>
    <t>0B5-iztf28QNJdkcyOFJwUjdwbzQ</t>
  </si>
  <si>
    <t>https://docs.google.com/open?id=0B5-iztf28QNJdkcyOFJwUjdwbzQ</t>
  </si>
  <si>
    <t>Doc Created @ Wed Feb 18 2015 22:32:02 GMT-0500 (EST); Doc Merged @ Wed Feb 18 2015 22:32:03 GMT-0500 (EST); Email Sent @ Wed Feb 18 2015 22:32:08 GMT-0500 (EST)(yren@pppl.ov,nstx-u@pppl.gov)</t>
  </si>
  <si>
    <t>0B5-iztf28QNJOXphYXNUcG5NSDA</t>
  </si>
  <si>
    <t>https://docs.google.com/open?id=0B5-iztf28QNJOXphYXNUcG5NSDA</t>
  </si>
  <si>
    <t>Doc Created @ Wed Feb 25 2015 05:37:32 GMT-0500 (EST); Doc Merged @ Wed Feb 25 2015 05:37:32 GMT-0500 (EST)</t>
  </si>
  <si>
    <t>Behaviour of High-Z Impurities in NSTX-U</t>
  </si>
  <si>
    <t>Reinke</t>
  </si>
  <si>
    <t>matthew.reinke@york.ac.uk</t>
  </si>
  <si>
    <t>Luis Delgado-Aparicio, Kevin Tritz</t>
  </si>
  <si>
    <t>United Kingdom</t>
  </si>
  <si>
    <t>University of York (United Kingdom)</t>
  </si>
  <si>
    <t>Assess high-Z plasma facing components</t>
  </si>
  <si>
    <t>To begin to assess the impact of high-Z PFCs on NSTX-U operations we will seed perturbing amounts of krypton and xenon (separately) into ELMy H-mode plasmas.  This will qualitatively demonstrate the radial and poloidal transport and enable an estimate the level of impurity source necessary to significantly impact the core plasma.  If available, HHFW heating will be used to provide an initial demonstration of any impact core electron heating has on high-Z impurity equilibration.
Experimental plan is straightforward:
 - establish stationary ELMy H-mode scenario w/o impurity seeding (NBI only)
 - main-chamber fueling of Kr at x3 levels (low, med, high) (x3 shots)
 -  main-chamber fueling of Xe at x3 levels (low, med. high) (x3 shots)
 - repeat stationary case(s) from Kr or Xe seeding with modulated HHFW heating (if available)
Data will be used to demonstrate diagnostic analysis workflow for future quantitative impurity transport investigations and to provide design input on any spectroscopic diagnostic upgrades. By using both krypton and xenon, this experiment can isolate any (unexpectedly) strong Z or mass dependence that would impact a near-term decision between TZM and tungsten PFCs.</t>
  </si>
  <si>
    <t>Standard ELMy H-mode scenario w/ NBI heating.  HHFW availability preferred but not required.  
Full set of radiation diagnostics (spectroscopy, SXR &amp; AXUV diodes, etc.) and electron kinetic (Te, ne) profile tools.
Special gases: Kr and Xe
</t>
  </si>
  <si>
    <t>0B5-iztf28QNJbExKaWNYQVhDYWs</t>
  </si>
  <si>
    <t>https://docs.google.com/open?id=0B5-iztf28QNJbExKaWNYQVhDYWs</t>
  </si>
  <si>
    <t>Doc Created @ Thu Feb 19 2015 03:53:23 GMT-0500 (EST); Doc Merged @ Thu Feb 19 2015 03:53:24 GMT-0500 (EST); Email Sent @ Thu Feb 19 2015 03:53:27 GMT-0500 (EST)(matthew.reinke@york.ac.uk,nstx-u@pppl.gov)</t>
  </si>
  <si>
    <t>0B5-iztf28QNJZWZvZTJzeEhkV3c</t>
  </si>
  <si>
    <t>https://docs.google.com/open?id=0B5-iztf28QNJZWZvZTJzeEhkV3c</t>
  </si>
  <si>
    <t>Doc Created @ Wed Feb 25 2015 05:37:47 GMT-0500 (EST); Doc Merged @ Wed Feb 25 2015 05:37:48 GMT-0500 (EST)</t>
  </si>
  <si>
    <t>Development of Small ELM regimes</t>
  </si>
  <si>
    <t>Travis</t>
  </si>
  <si>
    <t>Gray</t>
  </si>
  <si>
    <t>tkgray@pppl.gov</t>
  </si>
  <si>
    <t>J-W Ahn</t>
  </si>
  <si>
    <t>Small ELM regimes are potentially an attractive scenario for edge particle control without the deleterious effects associated large type I ELMs. Small ELM regimes were previously observed in NSTX [R. Maingi, et al, Nucl. Fusion 45 (2005) 264–270] and found to have high stored energy (~ 300 kJ).  We propose to scan dr_sep between -20 -- 0 mm as well as the triangularity to determine the operating window for these scenarios first under boronized conditions.  These scans will then be repeated again once Li is introduced into NSTX-U with minimal between shot Li evaporation to develop scenarios with Li wall conditioning and without impurity accumulation.</t>
  </si>
  <si>
    <t>Development of DN discharge scenarios established and plasma shape control</t>
  </si>
  <si>
    <t>0B5-iztf28QNJdXg1c3Y1ZTZqRkk</t>
  </si>
  <si>
    <t>https://docs.google.com/open?id=0B5-iztf28QNJdXg1c3Y1ZTZqRkk</t>
  </si>
  <si>
    <t>Doc Created @ Thu Feb 19 2015 14:31:25 GMT-0500 (EST); Doc Merged @ Thu Feb 19 2015 14:31:26 GMT-0500 (EST); Email Sent @ Thu Feb 19 2015 14:31:33 GMT-0500 (EST)(tkgray@pppl.gov,nstx-u@pppl.gov)</t>
  </si>
  <si>
    <t>0B5-iztf28QNJVllZcjE5Nk90OG8</t>
  </si>
  <si>
    <t>https://docs.google.com/open?id=0B5-iztf28QNJVllZcjE5Nk90OG8</t>
  </si>
  <si>
    <t>Doc Created @ Wed Feb 25 2015 05:37:58 GMT-0500 (EST); Doc Merged @ Wed Feb 25 2015 05:37:59 GMT-0500 (EST)</t>
  </si>
  <si>
    <t>Compare the benefits of off-axis NBI for advanced scenarios in low and medium aspect ratio devices</t>
  </si>
  <si>
    <t>John</t>
  </si>
  <si>
    <t>Ferron</t>
  </si>
  <si>
    <t>ferron@fusion.gat.com</t>
  </si>
  <si>
    <t>Chris Holcomb</t>
  </si>
  <si>
    <t>JRT-15, ITPA-IOS 3.2 and 3.3</t>
  </si>
  <si>
    <t>Goal: Make a comparison between NSTX-U and DIII-D of the effect of off-axis neutral beam injection on the current, pressure and rotation profiles and the betaN limit. Perform experiments on NSTX-U that parallel those initially performed on DIII-D after the installation of off-axis injection capability and those planned for 2015.
Importance: The results of this experiment would be contributions to the Joint Research Target report for 2015. This JRT addresses the effect of the current and pressure profiles on stability and confinement. The most and least tangential sources in the new beamline on NSTX-U are expected to generate NBCD profiles quite similar to those produced by the beams in DIII-D, so these experiments would generate data that highlight the similarities and differences as the aspect ratio changes.
Plan:
1. Access q_min &gt;2 using off-axis neutral beam injection. Document the accessible q_min vs choice of beam sources and density. Use an early H-mode transition and heating during the Ip rampup. 
2. Compare confinement, density and temperature profiles with on-axis injection and with off-axis injection. Assess the pressure peaking factor as a function of q_min and injection location.
3. Map the calculated ideal MHD stability limit for measured pressure and current profiles as a function of q_min and li.
4. Determine the effectiveness of off-axis injection in broadening the fast ion profile at high betaN.
5. Assess the experimentally achievable betaN as a function of q_min and pressure profile width. Document the effect of increasing betaN on the pressure profile width and the maximum betaN that can be maintained for multiple tauR.
6. Assess the maximum achievable current profile width with large outer gap. Assess changes in the ideal wall stability limit.
7. Look for anomalous fast ion loss that limits the accessible betaN.
8. Compare the current density profile evolution at high betaN with transport code calculations. Aim for f_NI = 1.
</t>
  </si>
  <si>
    <t>Prior check out of the fast ion profiles produced by the individual injection of the three new neutral beam sources to verify that the profiles at low betaN and zero MHD activity are as expected.
Capability to determine the current density profile using the MSE diagnostic.
Use of the FIDA diagnostic to measure fast ion profiles in high betaN discharges.
</t>
  </si>
  <si>
    <t>0B5-iztf28QNJRjlkbjVfM0ZrVWc</t>
  </si>
  <si>
    <t>https://docs.google.com/open?id=0B5-iztf28QNJRjlkbjVfM0ZrVWc</t>
  </si>
  <si>
    <t>Doc Created @ Thu Feb 19 2015 14:37:06 GMT-0500 (EST); Doc Merged @ Thu Feb 19 2015 14:37:07 GMT-0500 (EST); Email Sent @ Thu Feb 19 2015 14:37:27 GMT-0500 (EST)(ferron@fusion.gat.com,nstx-u@pppl.gov)</t>
  </si>
  <si>
    <t>0B5-iztf28QNJV2dGUmhlMjRsWDA</t>
  </si>
  <si>
    <t>https://docs.google.com/open?id=0B5-iztf28QNJV2dGUmhlMjRsWDA</t>
  </si>
  <si>
    <t>Doc Created @ Wed Feb 25 2015 06:23:06 GMT-0500 (EST); Doc Merged @ Wed Feb 25 2015 06:23:06 GMT-0500 (EST)</t>
  </si>
  <si>
    <t>Heat flux and SOL width Scaling in NSTX-U</t>
  </si>
  <si>
    <t>J-W Ahn, K Gan</t>
  </si>
  <si>
    <t>15-1</t>
  </si>
  <si>
    <t>The multi-machine database created as part of the 2010 Joint Research Target on SOL width established that there was a strong inverse dependence with Ip.  At the full upgrade capabilities (eg - Ip = 2 MA), a SOL width of ~ 3mm is predicted based on these established scalings.  Further, given the expected reduced SOL width and increased divertor heat flux, routine operation of NSTX-U in double-null shapes may be required to reduce the incident heat flux to acceptable levels.  With the addition of a 2nd, fast IR camera for the upper divertor, we will extend the SOL width scaling measurements to double-null operation in preparation for full upgrade capabilities in later year.  We propose to study SOL width scaling under boronized conditions for 0.6 ≤ Ip ≤ 1.4 MA at a constant PNBI to connect with the original database in lower single-null and to create a new database for double-null operation.   However, the addition of lithium has also been shown to greatly affect the SOL width.  Therefore, this will be repeated once lithium has been introduced into NSTX-U with several amounts of Li evaporation (10, 100, 300mg, etc) both in LSN and DN configurations to measure the effect of Li on the SOL width.</t>
  </si>
  <si>
    <t>0B5-iztf28QNJSnZtNks2S1EwdWM</t>
  </si>
  <si>
    <t>https://docs.google.com/open?id=0B5-iztf28QNJSnZtNks2S1EwdWM</t>
  </si>
  <si>
    <t>Doc Created @ Sun Feb 22 2015 13:50:05 GMT-0500 (EST); Doc Merged @ Sun Feb 22 2015 13:50:06 GMT-0500 (EST); Email Sent @ Sun Feb 22 2015 13:50:15 GMT-0500 (EST)(tkgray@pppl.gov,nstx-u@pppl.gov)</t>
  </si>
  <si>
    <t>0B5-iztf28QNJTnV1Z2h2TTZ2ejA</t>
  </si>
  <si>
    <t>https://docs.google.com/open?id=0B5-iztf28QNJTnV1Z2h2TTZ2ejA</t>
  </si>
  <si>
    <t>Doc Created @ Wed Feb 25 2015 06:23:19 GMT-0500 (EST); Doc Merged @ Wed Feb 25 2015 06:23:20 GMT-0500 (EST)</t>
  </si>
  <si>
    <t>Validating HHFW coupling/loading models with experimental measurements in NSTX-U</t>
  </si>
  <si>
    <t>Cornwall</t>
  </si>
  <si>
    <t>Lau</t>
  </si>
  <si>
    <t>lauch@ornl.gov</t>
  </si>
  <si>
    <t>Nicola Bertelli, John Caughman, Joel Hosea, Rory Perkins, Gary Taylor</t>
  </si>
  <si>
    <t>Antenna loading and coupling through the SOL is a well-known issue in determining HHFW power into the core plasma. SOL density in front of the antenna is critical in determining plasma impedance and therefore the reflected and transmitted power from the HHFW antenna into the plasma. Recent experiments and simulations have also suggested that SOL density in front of the antenna is critical in determining HHFW associated SOL power losses that have been observed recently on NSTX-U.  The SOL reflectometer has been recently upgraded with the intent of measuring SOL density profiles in front of the antenna for detailed comparison and benchmarking to theoretical/computational models (AORSA/COMSOL) to experimental measurement in order to understand these coupling issues. As part of the upgrade, the SOL reflectometer still maintains the capability to measure RF density fluctuations that may be related to parametric decay instabilities or RF waves. This capability, along with HHFW-induced SOL density modifications, may identify and quantify possible physical mechanisms leading to HHFW power losses in the SOL.
Shot plan will repeat and try different density, outer gap, HHFW power and phasing scans with HHFW in order to optimize coupling with the additional benefit of the improved diagnostic set. No neutral beam is desired here in order to simplify the comparison between experiment and theory.
</t>
  </si>
  <si>
    <t>HHFW antenna, SOL reflectometer, Thomson scattering, IR camera imaging antenna is necessary
CHERS is desired
</t>
  </si>
  <si>
    <t>0B5-iztf28QNJeENjZDZTd3lzd2M</t>
  </si>
  <si>
    <t>https://docs.google.com/open?id=0B5-iztf28QNJeENjZDZTd3lzd2M</t>
  </si>
  <si>
    <t>Doc Created @ Thu Feb 19 2015 14:40:19 GMT-0500 (EST); Doc Merged @ Thu Feb 19 2015 14:40:19 GMT-0500 (EST); Email Sent @ Thu Feb 19 2015 14:41:05 GMT-0500 (EST)(lauch@ornl.gov,nstx-u@pppl.gov)</t>
  </si>
  <si>
    <t>0B5-iztf28QNJUjRPVzVUVjE1ODQ</t>
  </si>
  <si>
    <t>https://docs.google.com/open?id=0B5-iztf28QNJUjRPVzVUVjE1ODQ</t>
  </si>
  <si>
    <t>Doc Created @ Wed Feb 25 2015 06:23:29 GMT-0500 (EST); Doc Merged @ Wed Feb 25 2015 06:23:29 GMT-0500 (EST)</t>
  </si>
  <si>
    <t>Establish minimum SOF density vs Ip ramp rate</t>
  </si>
  <si>
    <t>Dennis Mueller, Rajesh Maingi, Stefan Gerhardt</t>
  </si>
  <si>
    <t>Gas fueling during the Ip ramp in NSTX was required to avoid disruptive MHD. It is thought that the gas puff increased the current penetration by cooling the plasma edge, thus avoiding the most unstable current profiles.  If this picture is correct, slowing the Ip ramp rate should reduce the gas flow rate required for a stable plasma startup.  This experiment would examine if the minimum density at the start of flattop (SOF) depends on the initial ramp rate of Ip prior to the LH transition. If time, the impact of small and large bore startup on the gas requirements will be characterized.  It would be useful to run 1 day with Boronized walls, then test the key result with Lithiated walls in another 0.5 days.</t>
  </si>
  <si>
    <t>Thomson, mode spec, HFS/LFS gas control, EFIT</t>
  </si>
  <si>
    <t>0B5-iztf28QNJZTM3bnh0RGdtM0U</t>
  </si>
  <si>
    <t>https://docs.google.com/open?id=0B5-iztf28QNJZTM3bnh0RGdtM0U</t>
  </si>
  <si>
    <t>Doc Created @ Thu Feb 19 2015 14:41:11 GMT-0500 (EST); Doc Merged @ Thu Feb 19 2015 14:41:12 GMT-0500 (EST); Email Sent @ Thu Feb 19 2015 14:41:17 GMT-0500 (EST)(dbattagl@pppl.gov,nstx-u@pppl.gov)</t>
  </si>
  <si>
    <t>0B5-iztf28QNJaGhpX0hPQkhZMzQ</t>
  </si>
  <si>
    <t>https://docs.google.com/open?id=0B5-iztf28QNJaGhpX0hPQkhZMzQ</t>
  </si>
  <si>
    <t>Doc Created @ Wed Feb 25 2015 06:23:47 GMT-0500 (EST); Doc Merged @ Wed Feb 25 2015 06:23:47 GMT-0500 (EST)</t>
  </si>
  <si>
    <t>JRT-15</t>
  </si>
  <si>
    <t>0B5-iztf28QNJOHNSU1JfaTBoaTQ</t>
  </si>
  <si>
    <t>https://docs.google.com/open?id=0B5-iztf28QNJOHNSU1JfaTBoaTQ</t>
  </si>
  <si>
    <t>Doc Created @ Thu Feb 19 2015 14:54:25 GMT-0500 (EST); Doc Merged @ Thu Feb 19 2015 14:54:26 GMT-0500 (EST); Email Sent @ Thu Feb 19 2015 14:54:32 GMT-0500 (EST)(ferron@fusion.gat.com,nstx-u@pppl.gov)</t>
  </si>
  <si>
    <t>0B5-iztf28QNJNF9QYXpRbGNkNzA</t>
  </si>
  <si>
    <t>https://docs.google.com/open?id=0B5-iztf28QNJNF9QYXpRbGNkNzA</t>
  </si>
  <si>
    <t>Doc Created @ Wed Feb 25 2015 06:23:56 GMT-0500 (EST); Doc Merged @ Wed Feb 25 2015 06:23:57 GMT-0500 (EST)</t>
  </si>
  <si>
    <t>drsep Control Check-out</t>
  </si>
  <si>
    <t>E. Kolemen, K Gan</t>
  </si>
  <si>
    <t>Due to the upgraded capabilities of NSTX-U, it is expected that routine operation with the full capabilities will require discharges run in double null configuration to mitigate the increased divertor heat flux.  This XMP seeks to check out the basic drsep control algorithms in the NSTX real-time plasma control system and evaluate its preliminary performance.</t>
  </si>
  <si>
    <t>0B5-iztf28QNJZ1g2NGJSbmpjbVE</t>
  </si>
  <si>
    <t>https://docs.google.com/open?id=0B5-iztf28QNJZ1g2NGJSbmpjbVE</t>
  </si>
  <si>
    <t>Doc Created @ Thu Feb 19 2015 15:20:06 GMT-0500 (EST); Doc Merged @ Thu Feb 19 2015 15:20:06 GMT-0500 (EST); Email Sent @ Thu Feb 19 2015 15:20:21 GMT-0500 (EST)(tkgray@pppl.gov,nstx-u@pppl.gov)</t>
  </si>
  <si>
    <t>0B5-iztf28QNJYXU5RERGcFFmWE0</t>
  </si>
  <si>
    <t>https://docs.google.com/open?id=0B5-iztf28QNJYXU5RERGcFFmWE0</t>
  </si>
  <si>
    <t>Doc Created @ Wed Feb 25 2015 06:24:06 GMT-0500 (EST); Doc Merged @ Wed Feb 25 2015 06:24:06 GMT-0500 (EST)</t>
  </si>
  <si>
    <t>Discharge Development of Double Null Plasmas</t>
  </si>
  <si>
    <t>K Gan, E Kolemen</t>
  </si>
  <si>
    <t>This XMP seeks to develop high performance discharges with drsep ~ 0 or as close to it as possible for later XPs that require double-null or close to double-null operations.  If time permits, this will be extended to upper single null operation.  Discharges will begin in lower single-null and drsep will be ramped to until drsep ~ 0.  Ramp rates will be varied to optimize the performance of double null discharges.</t>
  </si>
  <si>
    <t>Completion of XMP on drsep control check-out and time to have evaluated the results.</t>
  </si>
  <si>
    <t>0B5-iztf28QNJQkdJUUpkSnhsSU0</t>
  </si>
  <si>
    <t>https://docs.google.com/open?id=0B5-iztf28QNJQkdJUUpkSnhsSU0</t>
  </si>
  <si>
    <t>Doc Created @ Thu Feb 19 2015 15:22:56 GMT-0500 (EST); Doc Merged @ Thu Feb 19 2015 15:22:57 GMT-0500 (EST); Email Sent @ Thu Feb 19 2015 15:23:02 GMT-0500 (EST)(tkgray@pppl.gov,nstx-u@pppl.gov)</t>
  </si>
  <si>
    <t>0B5-iztf28QNJVFdtZ3lFSXB1ZjQ</t>
  </si>
  <si>
    <t>https://docs.google.com/open?id=0B5-iztf28QNJVFdtZ3lFSXB1ZjQ</t>
  </si>
  <si>
    <t>Doc Created @ Wed Feb 25 2015 06:24:15 GMT-0500 (EST); Doc Merged @ Wed Feb 25 2015 06:24:15 GMT-0500 (EST)</t>
  </si>
  <si>
    <t>Plasmoid instabiltiy during CHI startup</t>
  </si>
  <si>
    <t>Fatima</t>
  </si>
  <si>
    <t>Ebrahimi</t>
  </si>
  <si>
    <t>ebrahimi@pppl.gov</t>
  </si>
  <si>
    <t>H. Ji, R. Raman</t>
  </si>
  <si>
    <t>Princeton University</t>
  </si>
  <si>
    <t>Understanding the reconnection process during CHI and finding the conditions for possible instabilities during the reconnection would help to optimize the maximum good flux closure (and CHI-generated plasma current). Motivated by recent predictive MHD simulations, we propose a systematic study of reconnection physics during CHI, with a focus on the plasmoid instability. Understanding reconnecting plasmoids may also be necessary for predicting how transient CHI scales as it is extrapolated to future (larger) devices. The goal is to explore and better understand conditions under which small and large plasmoids are generated. Key parameters governing Lundquist number and the current sheet (including plasma temperature, poloidal injector flux, injector flux footprint) will be controlled and varied. For example, in addition to using ECH, plasma temperature  could be increased by increasing the voltage at reduced density. Improved, dedicated and high-resolution diagnostics are needed to measure the reconnection flows and current sheets around the injector region. The formation of plasmoids will be detected via high resolution fast framing camera with optical filters.</t>
  </si>
  <si>
    <t>In addition to the all requirements for transient CHI start up, high resolution camera with optical filters.
</t>
  </si>
  <si>
    <t>0B5-iztf28QNJSEliX01PZ2Nma1U</t>
  </si>
  <si>
    <t>https://docs.google.com/open?id=0B5-iztf28QNJSEliX01PZ2Nma1U</t>
  </si>
  <si>
    <t>Doc Created @ Thu Feb 19 2015 15:43:56 GMT-0500 (EST); Doc Merged @ Thu Feb 19 2015 15:43:56 GMT-0500 (EST); Email Sent @ Thu Feb 19 2015 15:44:02 GMT-0500 (EST)(ebrahimi@pppl.gov,nstx-u@pppl.gov)</t>
  </si>
  <si>
    <t>0B5-iztf28QNJUGZzMm9ZVDBXZUE</t>
  </si>
  <si>
    <t>https://docs.google.com/open?id=0B5-iztf28QNJUGZzMm9ZVDBXZUE</t>
  </si>
  <si>
    <t>Doc Created @ Wed Feb 25 2015 06:24:25 GMT-0500 (EST); Doc Merged @ Wed Feb 25 2015 06:24:25 GMT-0500 (EST)</t>
  </si>
  <si>
    <t xml:space="preserve">Resonant error field threshold with non-resonant braking </t>
  </si>
  <si>
    <t>Jong-Kyu</t>
  </si>
  <si>
    <t>jpark@pppl.gov</t>
  </si>
  <si>
    <t>J. E. Menard, C. Myer, S. P. Gerhardt, Z. R. Wang, N. Logan, M. Lanctot, R. E. Bell, L. Delgado-Aparicio</t>
  </si>
  <si>
    <t>South Korea</t>
  </si>
  <si>
    <t>MDC-19</t>
  </si>
  <si>
    <t xml:space="preserve">This experiment is to test n=1 error field threshold while n=2 or n=3 field is applied and so in the presence of non-resonant NTV braking, utilizing the new 6-independent control capability. Experiments in NSTX and also in other machines have shown that non-resonant braking can cause NTV rotation damping and subsequently reduce n=1 error field threshold as expected. This is however less clearly demonstrated in Ohmic plasmas, since (a) theory indicates the additional viscosity by NTV may increase tolerance to electromagnetic torque induced by error field, and (b) there is an observation in KSTAR that shows non-resonant braking can rather mitigate locking-induced disruption. 
So first this experiment will use (1) Ohmic targets, and test resonant error field threshold by ramping up n=1 field while applying n=2 and n=3 non-resonant fields. The level of non-resonant fields and also density will be varied. Density control is desired if available to any extent, but otherwise n=1 ramping period will be adjusted to minimize density variation during n=1 application. Then this experiment can be repeated in (2) H-mode targets and compared with Ohmic cases as well as results in other machine such as DIII-D. </t>
  </si>
  <si>
    <t>The information about intrinsic error field can be critical especially when the level of intrinsic non-axisymmetry is large, and so this experiment is desired after the investigation of non-axisymmetry in plasma response. Also rotation measurement available in Ohmic plasmas, such as passive CHERS, will be very important to further quantify error field threshold vs. rotation and torque.
Diagnostics: Magnetic measurements, CHERS, Soft X-ray, IR camera 
Analysis: IPEC-PENT, MARS-K, POCA
</t>
  </si>
  <si>
    <t>0B5-iztf28QNJdFowM3JhcDVFSlk</t>
  </si>
  <si>
    <t>https://docs.google.com/open?id=0B5-iztf28QNJdFowM3JhcDVFSlk</t>
  </si>
  <si>
    <t>Doc Created @ Thu Feb 19 2015 19:34:59 GMT-0500 (EST); Doc Merged @ Thu Feb 19 2015 19:35:00 GMT-0500 (EST); Email Sent @ Thu Feb 19 2015 19:35:05 GMT-0500 (EST)(jpark@pppl.gov,nstx-u@pppl.gov)</t>
  </si>
  <si>
    <t>0B5-iztf28QNJdS1MeW8tV1BGc3c</t>
  </si>
  <si>
    <t>https://docs.google.com/open?id=0B5-iztf28QNJdS1MeW8tV1BGc3c</t>
  </si>
  <si>
    <t>Doc Created @ Wed Feb 25 2015 06:24:42 GMT-0500 (EST); Doc Merged @ Wed Feb 25 2015 06:24:42 GMT-0500 (EST)</t>
  </si>
  <si>
    <t>Localized 3d field effects on momentum transport and confinement</t>
  </si>
  <si>
    <t>Z. R. Wang, M. Lanctot, S. A. Sabbagh, J.-W. Ahn, D. Liu, G. Z. Hao, G. Kramer, W. Guttenfelder, S. M. Kaye</t>
  </si>
  <si>
    <t>This experiment is to apply a single coil perturbation, utilizing the 6-independent coil control capability, and measure the effects on NTV momentum transport and confinement including fast ions. Tokamaks such as ITER can have a localized error field source as expected from Test Blanket Module (TBM). It has been shown in the DIII-D TBM mock-up test that this localized 3d field can degrade confinement up to ~20% when measured by H98 factor, fast ion loss up to ~30% and toroidal rotation up to ~60%. Effects became stronger in high-β plasmas, indicating importance of the TBM error field control in high performance plasmas. The field from a present midplane coil in NSTX-U is much broader in wavelength than the TBM field, but contains many toroidal harmonic components with Gaussian-type distribution that characterizes a localized error field source. Note a single coil application was never tested before in NSTX. 
So this experiment will apply a single coil perturbation and measure NTV damping, confinement change, fast ion transport, as well as the effects on divertor heat flux or fluctuations, as a function of β and also applied field strength. These parameters can be varied or adjusted in various levels during a discharge depending on shot duration and evolution. Then other coils can be used to remove a part of this proxy localized error field, especially n=1 component, and to quantify recovery of confinement or from loss by this partial correction.</t>
  </si>
  <si>
    <t>Diagnostics: Magnetic measurements, CHERS, FIDA, SFLIP, Soft X-ray, IR camera, BES 
Analysis: IPEC-PENT, MARS-K, POCA, TRANSP, SPIRAL, GYRO, etc
</t>
  </si>
  <si>
    <t>0B5-iztf28QNJbWlINXNzcERYMEE</t>
  </si>
  <si>
    <t>https://docs.google.com/open?id=0B5-iztf28QNJbWlINXNzcERYMEE</t>
  </si>
  <si>
    <t>Doc Created @ Thu Feb 19 2015 19:57:17 GMT-0500 (EST); Doc Merged @ Thu Feb 19 2015 19:57:18 GMT-0500 (EST); Email Sent @ Thu Feb 19 2015 19:57:23 GMT-0500 (EST)(jpark@pppl.gov,nstx-u@pppl.gov)</t>
  </si>
  <si>
    <t>0B5-iztf28QNJbzhlRTVTY1FYRlk</t>
  </si>
  <si>
    <t>https://docs.google.com/open?id=0B5-iztf28QNJbzhlRTVTY1FYRlk</t>
  </si>
  <si>
    <t>Doc Created @ Wed Feb 25 2015 06:24:52 GMT-0500 (EST); Doc Merged @ Wed Feb 25 2015 06:24:53 GMT-0500 (EST)</t>
  </si>
  <si>
    <t>Low-beta, low-density locked mode studies</t>
  </si>
  <si>
    <t>S. P. Gerhardt, J.-K. Park, and J. E. Menard</t>
  </si>
  <si>
    <t>R15-3</t>
  </si>
  <si>
    <t>The intrinsic error fields in NSTX-U are expected to have changed from NSTX as a result of differences in the PF5 coil mechanical supports as well as modifications to the vacuum vessel (e.g., the NB2 beam port).  Characterization of these intrinsic error fields early in the run will be key to achieving high performance discharges and improving startup, especially at low density.
In this XP, we will conduct “compass” scans of the n=1 applied field using the RWM/EF non-axisymmetric coils.  This will include changes to both the amplitude and the phase of the applied n=1 fields.  The primary diagnostic for this XP will be the onset of locked modes and ensuing disruptions.  Given that the XP is likely to run early in the campaign, the status of the CHERS rotation data is unknown, though it will be used if available.  Time permitting, a brief optimization of the n=2 and n=3 intrinsic error field correction will also be performed.</t>
  </si>
  <si>
    <t>Shot conditions:  Low-beta, L-mode discharges (early in campaign)
Need:  RWM/EF coils with 6 SPA capabilities, magnetics, RWM sensor data.
Want:  CHERS rotation data.</t>
  </si>
  <si>
    <t>0B5-iztf28QNJN1ZVYW9WaVF3R2s</t>
  </si>
  <si>
    <t>https://docs.google.com/open?id=0B5-iztf28QNJN1ZVYW9WaVF3R2s</t>
  </si>
  <si>
    <t>Doc Created @ Thu Feb 19 2015 20:43:49 GMT-0500 (EST); Doc Merged @ Thu Feb 19 2015 20:43:49 GMT-0500 (EST); Email Sent @ Thu Feb 19 2015 20:43:54 GMT-0500 (EST)(cmyers@pppl.gov,nstx-u@pppl.gov)</t>
  </si>
  <si>
    <t>0B5-iztf28QNJOV9yY2p4QzRqM28</t>
  </si>
  <si>
    <t>https://docs.google.com/open?id=0B5-iztf28QNJOV9yY2p4QzRqM28</t>
  </si>
  <si>
    <t>Doc Created @ Wed Feb 25 2015 06:25:01 GMT-0500 (EST); Doc Merged @ Wed Feb 25 2015 06:25:02 GMT-0500 (EST)</t>
  </si>
  <si>
    <t>High-beta n=1,2,3 feed-forward error field correction</t>
  </si>
  <si>
    <t>S. P. Gerhardt, J.-K. Park, J. Berkery, and J. E. Menard</t>
  </si>
  <si>
    <t>The intrinsic error fields in NSTX-U are expected to have changed from NSTX as a result of differences in the PF5 coil mechanical supports as well as modifications to the vacuum vessel (e.g., the NB2 beam port).  The intrinsic error fields that will be identified in low-beta, L-mode discharges will differ from those that are modified/amplified in high-beta, H-mode discharges.  Consequently, scans are required to evaluate intrinsic error fields in high performance discharges.
In this XP, compass scans will be performed in long pulse, high performance discharges utilizing “spiral” scans where the amplitude and phase of the applied non-axisymmetric fields (n=1,2) are gradually increased over the course of the discharge.  The primary diagnostic for this XP will be CHERS rotation.  The XP will be most effective if inter-shot CHERS is available, so this may dictate when the XP can/should be run.  The n=3 portion of the XP will involve flipping the n=3 applied field polarity and scanning its amplitude.  The amplitude will be scanned sufficiently to study magnetic braking as a result of the applied n=3 fields.</t>
  </si>
  <si>
    <t>Shot conditions:  High-beta, H-mode discharges
Need:  RWM/EF coils with 6 SPA capabilities, Magnetics, RWM sensor data, CHERS rotation data.</t>
  </si>
  <si>
    <t>0B5-iztf28QNJMjlsX194R1kwTU0</t>
  </si>
  <si>
    <t>https://docs.google.com/open?id=0B5-iztf28QNJMjlsX194R1kwTU0</t>
  </si>
  <si>
    <t>Doc Created @ Thu Feb 19 2015 20:46:49 GMT-0500 (EST); Doc Merged @ Thu Feb 19 2015 20:46:50 GMT-0500 (EST); Email Sent @ Thu Feb 19 2015 20:46:55 GMT-0500 (EST)(cmyers@pppl.gov,nstx-u@pppl.gov)</t>
  </si>
  <si>
    <t>0B5-iztf28QNJZW8xeHRZbG1LZmc</t>
  </si>
  <si>
    <t>https://docs.google.com/open?id=0B5-iztf28QNJZW8xeHRZbG1LZmc</t>
  </si>
  <si>
    <t>Doc Created @ Wed Feb 25 2015 06:25:10 GMT-0500 (EST); Doc Merged @ Wed Feb 25 2015 06:25:11 GMT-0500 (EST)</t>
  </si>
  <si>
    <t>Optimization of PID dynamic error field correction</t>
  </si>
  <si>
    <t>The longest discharges achieved in NSTX were, in part, a result of effective dynamic error field correction [Menard 2010].  This XP will implement the 2010 version of the mode ID upgrade (miu) algorithm on NSTX-U.  In particular, we will optimize the amplitudes, phases, and gains in the PID dynamic error field correction algorithm to maximize plasma performance.  Furthermore, in order to discern between the impact of fast RWM control and lower-frequency error field correction, we will utilize the low pass filter that is available in the miu algorithm to limit the system to dynamic error field correction only.</t>
  </si>
  <si>
    <t>Shot conditions:  High-beta, H-mode discharges.
Need:  RWM/EF coils with 6 SPA capabilities, Magnetics RWM sensor data, real time RWM controller operational, CHERS rotation data.</t>
  </si>
  <si>
    <t>0B5-iztf28QNJbDhBZ2JSZnlrM2M</t>
  </si>
  <si>
    <t>https://docs.google.com/open?id=0B5-iztf28QNJbDhBZ2JSZnlrM2M</t>
  </si>
  <si>
    <t>Doc Created @ Thu Feb 19 2015 20:48:25 GMT-0500 (EST); Doc Merged @ Thu Feb 19 2015 20:48:26 GMT-0500 (EST); Email Sent @ Thu Feb 19 2015 20:48:32 GMT-0500 (EST)(cmyers@pppl.gov,nstx-u@pppl.gov)</t>
  </si>
  <si>
    <t>0B5-iztf28QNJeW5QSTRlVnJZa1k</t>
  </si>
  <si>
    <t>https://docs.google.com/open?id=0B5-iztf28QNJeW5QSTRlVnJZa1k</t>
  </si>
  <si>
    <t>Doc Created @ Wed Feb 25 2015 06:25:20 GMT-0500 (EST); Doc Merged @ Wed Feb 25 2015 06:25:20 GMT-0500 (EST)</t>
  </si>
  <si>
    <t>Beam ion confinement of 2nd NBI</t>
  </si>
  <si>
    <t>W. W. Heidbrink, D. S. Darrow, M. Podestà</t>
  </si>
  <si>
    <t>The second NBI is a major upgrade component to the NSTX device with the purpose of off -axis current drive. In order to be able to predict and assess the effects of this off-axis NBI, it is necessary to characterize the confinement and distribution of fast ions from this new off-axis NBI system and compare them with on-axis NBI scenario and classical predictions. The primary focus of this XP is to use neutron, FIDA and SSNPA measurements to verify NUBEAM modeling of the fast-ion distribution function in quiescent plasmas with on-axis and off-axis NBI. The sFLIP diagnostic will also be used to monitor prompt losses.
In the XP, we plan to cycle through on-axis and off-axis neutral beam sources with several injection patterns. The two main beam injection patters are listed below.
(1)Beam blips for each neutral beam source in L mode quiescent plasmas. 
(2) Continued injection of each on-axis and off-axis NB source with 20ms notch every ~90ms. For off-axis neutral beams, add extra beam blips from on-axis source to obtain MSE and CHERS data. 
</t>
  </si>
  <si>
    <t>Prefer at least one week after FIDA/SSNPA/sFLIP checkout XMP. Require relatively clean machine to avoid impurity contamination in FIDA spectra. Also require on-axis and new off-axis NBI systems with relatively low voltage and low power, plus many beam modulation patterns. Need magnetics, plasma profile diagnostics (Thomson scattering, CHERS), MSE, and fast ion diagnostics (neutrons, vertical-FIDA, tangential FIDA, SSNPA and sFLIP).</t>
  </si>
  <si>
    <t>0B5-iztf28QNJVXBUVmdOc2pobjQ</t>
  </si>
  <si>
    <t>https://docs.google.com/open?id=0B5-iztf28QNJVXBUVmdOc2pobjQ</t>
  </si>
  <si>
    <t>Doc Created @ Thu Feb 19 2015 21:48:01 GMT-0500 (EST); Doc Merged @ Thu Feb 19 2015 21:48:02 GMT-0500 (EST); Email Sent @ Thu Feb 19 2015 21:48:07 GMT-0500 (EST)(deyongl@uci.edu,nstx-u@pppl.gov)</t>
  </si>
  <si>
    <t>0B5-iztf28QNJQ2VSaFZoOG9wems</t>
  </si>
  <si>
    <t>https://docs.google.com/open?id=0B5-iztf28QNJQ2VSaFZoOG9wems</t>
  </si>
  <si>
    <t>Doc Created @ Wed Feb 25 2015 06:25:29 GMT-0500 (EST); Doc Merged @ Wed Feb 25 2015 06:25:29 GMT-0500 (EST)</t>
  </si>
  <si>
    <t>Comparative study of the Electro-magnetic torque application through feedback for NTM locking avoidance in DIII-D, RFX-mod and NSTX</t>
  </si>
  <si>
    <t>Michio</t>
  </si>
  <si>
    <t>Okabayashi</t>
  </si>
  <si>
    <t>mokabaya@pppl.gov</t>
  </si>
  <si>
    <t>T. Strait(GA), R. LaHaye(GA), P. Zanca(RFX-mod), R. Paccagnella(RFX-mod), Jong-Kyu Park(PPPL)</t>
  </si>
  <si>
    <t>DIII-D and RFX-mod experiments have indicated that there is a path to avoid the tearing mode (TM) locking and its associated disruptions by utilizing the electromagnetic (EM) torque produced by 3D coils through feedback. In this scheme, the EM torque is created by a toroidal phase shift between the externally-applied n=1 field and the excited TM fields, compensating the mode momentum loss due to the interaction with the resis¬tive wall and error field. Stable toroidal phase of the 3D field relative to the TM is provided by feedback. 
	The experiment in low aspect ratio tokamak NSTX is extremely useful to explore the versatility of this approach by comparing results in three devices. In DIII-D we performed divertor, D-shaped, high-β plasmas, controlled by coils placed inside the vacuum vessel. Instead, in the RFX-mod experiments circular cross-section, limiter, ohmic discharges are realized with low edge safety factor 2&lt;q(a)&lt;3, and feedback control by active coils placed outside the stabilizing shell. 
	Proposed approach is that the EM through feedback will be applied before locking of large NTM takes place in a discharge. Feedback gain will be scanned with Power-Supply band-width time constant larger than the wall time. Objective is to identify critical issues for further improvement 
</t>
  </si>
  <si>
    <t xml:space="preserve">Feedback system </t>
  </si>
  <si>
    <t>0B5-iztf28QNJMzNnWDlUUC11NHc</t>
  </si>
  <si>
    <t>https://docs.google.com/open?id=0B5-iztf28QNJMzNnWDlUUC11NHc</t>
  </si>
  <si>
    <t>Doc Created @ Thu Feb 19 2015 23:32:10 GMT-0500 (EST); Doc Merged @ Thu Feb 19 2015 23:32:10 GMT-0500 (EST); Email Sent @ Thu Feb 19 2015 23:32:16 GMT-0500 (EST)(mokabaya@pppl.gov,nstx-u@pppl.gov)</t>
  </si>
  <si>
    <t>0B5-iztf28QNJV1VfVnFpRzhkUzg</t>
  </si>
  <si>
    <t>https://docs.google.com/open?id=0B5-iztf28QNJV1VfVnFpRzhkUzg</t>
  </si>
  <si>
    <t>Doc Created @ Wed Feb 25 2015 06:25:39 GMT-0500 (EST); Doc Merged @ Wed Feb 25 2015 06:25:39 GMT-0500 (EST)</t>
  </si>
  <si>
    <t>Impurity transport in electron RF–heated scenarios</t>
  </si>
  <si>
    <t>Luis F.</t>
  </si>
  <si>
    <t>Delgado-Aparicio</t>
  </si>
  <si>
    <t>ldelgado@pppl.gov</t>
  </si>
  <si>
    <t>K. Tritz2, J. Muñoz2, D. Stutman2, J. Rice3, D. Smith4, N. Bertelli1, R. Perkins1, R. E. Bell1, F. Poli1, H. Yuh5, A. Diallo1, B. Leblanc1, W. Wang1 and W. Gutenfelder1 1PPPL, 3JHU, 3MIT-PSFC, 4University of Wisconsin-Madison, 5Nova Photonics</t>
  </si>
  <si>
    <t>From Walter: "...Plus, we got scolded for not addressing particle transport..."</t>
  </si>
  <si>
    <t>The Z-scaling of impurity transport in predominantly electron-heated (Te&gt;Ti) plasmas remains a much less explored field than Ohmic, NBI or ICRF heated discharges where Te~Ti. The results from a comparison between impurity transport in Ohmic and RF electron heating in Alcator C-Mod suggest that the core impurity screening exhibited in the case of the predominately electron heated plasmas might be due to an outward impurity pinch [1]. Three possible options are being considered to explain the turbulence-induced convective pinch: a) turbulence equipartition, b) thermodiffusion and c) parallel compressibility. The goal of this experiment is to estimate the dependences of these three impurity pinch terms in NSTX-U: turbulence equipartition (a.k.a magnetic field curvature pinch) drives an inward pinch proportional to the inverse of gradient length of the safety factor ∇q/q, while turbulent thermodiffusion and parallel compresibilty generate a pinch velocity proportional to the inverse of impurity, ion and electron temperature gradient lengths (∇T/T). The direction of the parallel compressibility pinch will reverses as a function of the direction of rotation of the turbulence moving from dominant auxiliary ion heating to dominant auxiliary electron heating, so it has become a prime candidate to explain the C-Mod results. This is a particular attractive scenario for ITER since α-heating predominantly heats the electron channel.
</t>
  </si>
  <si>
    <t>We request one day of experiments w/ and w/o Ne-puffs [2-4] while scanning the HHFW power from 0.5 to 3 MW. Key diagnostics are CHERS, MPTS, MSE and the new ME-SXR [5] and AXUV-based “bolometer” [6] systems.</t>
  </si>
  <si>
    <t>0B5-iztf28QNJeUdXdmJBemRUYUE</t>
  </si>
  <si>
    <t>https://docs.google.com/open?id=0B5-iztf28QNJeUdXdmJBemRUYUE</t>
  </si>
  <si>
    <t>Doc Created @ Thu Feb 19 2015 23:43:11 GMT-0500 (EST); Doc Merged @ Thu Feb 19 2015 23:43:11 GMT-0500 (EST); Email Sent @ Thu Feb 19 2015 23:43:20 GMT-0500 (EST)(ldelgado@pppl.gov,nstx-u@pppl.gov)</t>
  </si>
  <si>
    <t>0B5-iztf28QNJUUFVVmNHaDFyS1E</t>
  </si>
  <si>
    <t>https://docs.google.com/open?id=0B5-iztf28QNJUUFVVmNHaDFyS1E</t>
  </si>
  <si>
    <t>Doc Created @ Wed Feb 25 2015 06:25:48 GMT-0500 (EST); Doc Merged @ Wed Feb 25 2015 06:25:49 GMT-0500 (EST)</t>
  </si>
  <si>
    <t>Impurity transport vs torque in NBI heated H-Modes</t>
  </si>
  <si>
    <t>K. Tritz2, J. Muñoz2, D. Stutman2, J. Rice3, D. Smith4, R. E. Bell1, F. Poli1, H. Yuh5, A. Diallo1, B. Leblanc1, W. Wang1 and W. Gutenfelder1</t>
  </si>
  <si>
    <t>JRT15</t>
  </si>
  <si>
    <t xml:space="preserve">A major effort for NSTX-U will be to characterize the transport properties of H-mode scenarios with high toroidal velocities in which the ‘standard’ neoclassical theory derived for ‘subsonic’ Mach numbers, may no longer be applicable. The main motivation behind the installation of the three new tangential neutral-beam injectors is to increase the available heating power, the NBI-driven current and the bootstrap fraction. However, the use of off-axis beams may bring a concomitant increase of the deuterium and impurity Mach numbers providing additional momentum to the outward low temperature plasma; in this scenario, the presence of poloidal density asymmetries and off-axis impurity peaking are nearly guaranteed. The Mach number correction affecting the impurity distribution is proportional to the ion-mass so the effects on low-Z (e.g. C) to high-Z (e.g. Fe Mo, Z) impurities will be easily distinguishable from that of deuterium. Understanding the radial dependence of poloidal asymmetries and its role for the outward convection of impurities is highly desirable. This experiment will provide valuable data for the Joint Research Target 2015 (“Quantify impact of broadened current and pressure profiles on confinement and stability”). </t>
  </si>
  <si>
    <t>We request one day of experiments w/ and w/o Ne-puffs [1-3], changing the torque density but keeping the overall power constant using the expanded NBI flexibility (e.g. at 4, 5 or 6 MW). Key diagnostics are CHERS, MPTS, MSE and the new ME-SXR [4] and AXUV-based “bolometer” [5] systems.</t>
  </si>
  <si>
    <t>0B5-iztf28QNJSVMzWTRIVjJzaUU</t>
  </si>
  <si>
    <t>https://docs.google.com/open?id=0B5-iztf28QNJSVMzWTRIVjJzaUU</t>
  </si>
  <si>
    <t>Doc Created @ Thu Feb 19 2015 23:47:00 GMT-0500 (EST); Doc Merged @ Thu Feb 19 2015 23:47:00 GMT-0500 (EST); Email Sent @ Thu Feb 19 2015 23:47:05 GMT-0500 (EST)(ldelgado@pppl.gov,nstx-u@pppl.gov)</t>
  </si>
  <si>
    <t>0B5-iztf28QNJTzVpbVBIRURVQnc</t>
  </si>
  <si>
    <t>https://docs.google.com/open?id=0B5-iztf28QNJTzVpbVBIRURVQnc</t>
  </si>
  <si>
    <t>Doc Created @ Wed Feb 25 2015 06:25:58 GMT-0500 (EST); Doc Merged @ Wed Feb 25 2015 06:25:58 GMT-0500 (EST)</t>
  </si>
  <si>
    <t>Stabilization of radiated-induced tearing modes (RiTMs) using off-axis-heating</t>
  </si>
  <si>
    <t>D. A. Gates1, D. Brennan2, R. White1, K. Tritz3, D. Smith4, J. Muñoz3, D. Stutman3, R. E. Bell1, S. P. Gerhart1, F. Poli1, H. Yuh5, A. Diallo1 and B. Leblanc1</t>
  </si>
  <si>
    <t>Impurity radiation from medium- to high-Z impurities has been hypothesized to contribute cooling magnetic islands  causing tearing modes to grow larger and faster in comparison  to the impurity-free cases. Recent observations of exponentially  growing m/n &gt; 1 tearing modes in tokamaks (see [1] and references therein), support the idea of a driving mechanism proportional  to the changes in radiated power density in the vicinity of the is land. In such case, the phenomena  has been coined as radiation-induced tearing modes (RiTMs). The  onset criterion [2-7] for these radiation driven islands has recently been determined to be consistent with the empirical scaling of the Greenwald density limit [8]. At the heart of this RiTM description is a simplified power balance criteria in the center of a  magnetic island. The development of this simple analytical model provides, for the first  time, a predictive capability that can be used in present and future  reactors, which identifies critical local variables, and is capable of  relating these to global engineering parameters [2-7]. A systematic study of the role of impurities providing an enhanced radiation and affecting both the power balance and the TM onset and evolution, is important for extrapolation to ITER since its baseline scenario aims at operating at least 90% of the Greenwald density [8]. To counteract the appearance of radiatively induced tearing modes in NSTX-U we will seek to adjust power balance by applying off-axis heating power density using the NBI added flexibility. The development of this techniques could potentially be used in future STs for avoidance of density limit disruptions in comparison to that of ECRH in conventional high-field tokamaks. This experiment will provide valuable data for the Joint Research Target 2015 (“Quantify impact of broadened current and pressure profiles on confinement and stability”).</t>
  </si>
  <si>
    <t>We request one day of experiments w/ and w/o Ne-puffs [9-10] and changing the off-axis NBI power density for RiTM stabilization. Key diagnostics are the CHERS, MPTS, MSE, USXR and the new ME-SXR [11] and AXUV-based “bolometer” [12] systems.</t>
  </si>
  <si>
    <t>0B5-iztf28QNJU0h4NWhFb3ViWUk</t>
  </si>
  <si>
    <t>https://docs.google.com/open?id=0B5-iztf28QNJU0h4NWhFb3ViWUk</t>
  </si>
  <si>
    <t>Doc Created @ Thu Feb 19 2015 23:50:18 GMT-0500 (EST); Doc Merged @ Thu Feb 19 2015 23:50:18 GMT-0500 (EST); Email Sent @ Thu Feb 19 2015 23:50:25 GMT-0500 (EST)(ldelgado@pppl.gov,nstx-u@pppl.gov)</t>
  </si>
  <si>
    <t>0B5-iztf28QNJMnJaSlBkX3pnb2c</t>
  </si>
  <si>
    <t>https://docs.google.com/open?id=0B5-iztf28QNJMnJaSlBkX3pnb2c</t>
  </si>
  <si>
    <t>Doc Created @ Wed Feb 25 2015 06:26:08 GMT-0500 (EST); Doc Merged @ Wed Feb 25 2015 06:26:09 GMT-0500 (EST)</t>
  </si>
  <si>
    <t>Study of tearing mode stability in the presence of external perturbed fields</t>
  </si>
  <si>
    <t>Zhirui</t>
  </si>
  <si>
    <t>Wang</t>
  </si>
  <si>
    <t>zwang@pppl.gov</t>
  </si>
  <si>
    <t>Jong-Kyu Park, Jonathan Menard, Yueqiang Liu, Robert La Haye</t>
  </si>
  <si>
    <t>MDC19</t>
  </si>
  <si>
    <t>The experiments will help to understand the interaction between the tearing mode dynamic and the plasma rotation in the presence of the external magnetic perturbation. The numerical validation of MARS-Q and resistive DCON codes can be carried out while applying the codes to analyze these experiments. The experiments will help to improve the capability of codes to predict the NSTX-U tearing stability and the torque profile of neoclassical toroidal viscosity (NTV).  In the experiments, it requires that using NBI provides the angular momentum at different location (on/off-axis) to generate the initial rotation profiles. Then applying n=1 or n=2 external magnetic perturbations, induces the NTV torque to vary the rotation profile. It is possible to observe and measure the threshold of tearing mode stability, (2,1) or (3,2) modes, while the rotation profile is damped through NTV torque with respect to different strengths of external perturbation. MARS-Q code can be used to simulate the dynamics of tearing mode (Small Island) in the experiments in the quasi-linear approach, where the NTV torque can also be computed by MARS-Q. It is also possible to see whether the kinetic effects can affect the tearing mode stability through the outer region and validate the NTV model. RDCON may be used to study the effect of the rotation shear at singular surface by matching the inner and outer region solutions.</t>
  </si>
  <si>
    <t>The target plasma is stable to ideal MHD instability. The low beta H mode plasma should be considered to avoid the bootstrap current and the Glasser effect.</t>
  </si>
  <si>
    <t>0B5-iztf28QNJSEFIRHc3RzJOTnM</t>
  </si>
  <si>
    <t>https://docs.google.com/open?id=0B5-iztf28QNJSEFIRHc3RzJOTnM</t>
  </si>
  <si>
    <t>Doc Created @ Fri Feb 20 2015 00:21:34 GMT-0500 (EST); Doc Merged @ Fri Feb 20 2015 00:21:34 GMT-0500 (EST); Email Sent @ Fri Feb 20 2015 00:21:39 GMT-0500 (EST)(zwang@pppl.gov,nstx-u@pppl.gov)</t>
  </si>
  <si>
    <t>0B5-iztf28QNJUHRTM2kzbXFCenM</t>
  </si>
  <si>
    <t>https://docs.google.com/open?id=0B5-iztf28QNJUHRTM2kzbXFCenM</t>
  </si>
  <si>
    <t>Doc Created @ Wed Feb 25 2015 06:26:19 GMT-0500 (EST); Doc Merged @ Wed Feb 25 2015 06:26:20 GMT-0500 (EST)</t>
  </si>
  <si>
    <t>Direct measurement of plasma response using Nyquist Contour</t>
  </si>
  <si>
    <t xml:space="preserve"> Jong-Kyu Park, Matthew Lanctot, Jonathan Menard, Yueqiang Liu</t>
  </si>
  <si>
    <t>MDC19 and Working Group 9</t>
  </si>
  <si>
    <t>The goal of this experiment is to investigate the impact of drift kinetic effects on the plasma response to 3D fields and also the multiple mode response in high beta plasmas in NSTX-U.  This is done by measuring the n=1 and n=2 plasma response over a wide range of applied field frequencies (from –infinity to +infinity) in the plasmas where the beta value can be below, near or above the no-wall beta limits, here the no-wall beta limit is predicted by Ideal MHD. Plotting the measured magnetic perturbation on the sensor in complex plane will form the Nyquist contour.  The data can be analyzed using this Nyquist contour and fit using a multi-mode Padé approximation in order to infer the eigenvalue (growth rate) of each eigenmode.  The results will resolve the relative importance of multiple plasma modes. For instance, an important issue that would inform ongoing ITPA activities is the difference between n=1 and n=2 plasma response.  It would be most interesting if we could show that n=1 is truly a single-mode response (due to strong dominance of primary mode) whereas n=2 spectrum is multi-mode owing to lack of a very unstable dominant mode.  The experiments will greatly help to understand how the kinetic effects change the plasma response, when beta value approaches or exceeds no wall limit. The results will also improve the ongoing validation of hybrid drift kinetic-MHD models by comparing the experimentally measured Nqusit contour with the ones simulated by MARS-F/K codes with respect to fluid/kinetic plasma response. The similar experimental proposal of Nyquist contour study will be submitted to DIII-D. Comparing the results in NSTX-U and DIII-D experiments will greatly help to understand the characteristics of plasma response. It will also improve the reliability of numerical prediction while applying MARS-K to analyze these experiments.</t>
  </si>
  <si>
    <t xml:space="preserve">The target plasma is stable to tearing mode instability. The plasma should be passively stable even when the beta reaches the no-wall beta limit. </t>
  </si>
  <si>
    <t>0B5-iztf28QNJX2M0U1NUWmhIdW8</t>
  </si>
  <si>
    <t>https://docs.google.com/open?id=0B5-iztf28QNJX2M0U1NUWmhIdW8</t>
  </si>
  <si>
    <t>Doc Created @ Fri Feb 20 2015 00:29:14 GMT-0500 (EST); Doc Merged @ Fri Feb 20 2015 00:29:14 GMT-0500 (EST); Email Sent @ Fri Feb 20 2015 00:29:19 GMT-0500 (EST)(zwang@pppl.gov,nstx-u@pppl.gov)</t>
  </si>
  <si>
    <t>0B5-iztf28QNJYnBrUHpPcjF4SEE</t>
  </si>
  <si>
    <t>https://docs.google.com/open?id=0B5-iztf28QNJYnBrUHpPcjF4SEE</t>
  </si>
  <si>
    <t>Doc Created @ Wed Feb 25 2015 06:26:30 GMT-0500 (EST); Doc Merged @ Wed Feb 25 2015 06:26:30 GMT-0500 (EST)</t>
  </si>
  <si>
    <t>Pedestal rotation shear enhancement with high-n NTV braking and 2nd NBI</t>
  </si>
  <si>
    <t>John Canik, Stefan Gerhardt, Jong-Kyu Park</t>
  </si>
  <si>
    <t>R(15-3), JRT-15</t>
  </si>
  <si>
    <t>Low-n stability analysis of the highest beta NSTX EPH plasma (134991) including rotation shear effects and fast-ion contributions found trends where large rotation shear near the boundary and very broad rotation in the core is most stable.  This large edge rotation shear also appears responsible for the very large ion temperature gradient in the pedestal region and very high global confinement.
This finding motivates trying new tools to trigger these EPH-like scenarios. In particular, we propose to try high-n edge-localized NTV (n=3,4,5,6) utilizing the 2nd SPA combined with the very broadest momentum deposition from the 2nd NBI to try to generate very high edge rotation shear.  The outer gap will also be an important control parameters in such shots.   Scans in NTV mode number and amplitude combined with beam power variations with high NBI tangency radius will be performed.</t>
  </si>
  <si>
    <t xml:space="preserve">May be best performed with at least some lithium to have either small or no ELMs. </t>
  </si>
  <si>
    <t>0B5-iztf28QNJZDZwdlNhZ090RUk</t>
  </si>
  <si>
    <t>https://docs.google.com/open?id=0B5-iztf28QNJZDZwdlNhZ090RUk</t>
  </si>
  <si>
    <t>Doc Created @ Fri Feb 20 2015 01:40:20 GMT-0500 (EST); Doc Merged @ Fri Feb 20 2015 01:40:20 GMT-0500 (EST); Email Sent @ Fri Feb 20 2015 01:40:25 GMT-0500 (EST)(jmenard@pppl.gov,nstx-u@pppl.gov)</t>
  </si>
  <si>
    <t>0B5-iztf28QNJdHA0anctZFRydDA</t>
  </si>
  <si>
    <t>https://docs.google.com/open?id=0B5-iztf28QNJdHA0anctZFRydDA</t>
  </si>
  <si>
    <t>Doc Created @ Wed Feb 25 2015 06:26:40 GMT-0500 (EST); Doc Merged @ Wed Feb 25 2015 06:26:40 GMT-0500 (EST)</t>
  </si>
  <si>
    <t>Multi-species particle injection for ELM pacing and impurity transport</t>
  </si>
  <si>
    <t>L. Roquemore, M. Jaworski, R. Kaita, R. Maingi, J. Wang et al</t>
  </si>
  <si>
    <t>ITPA PEP #30</t>
  </si>
  <si>
    <t>The mitigation of peak heat flux due to edge localized modes is critical to preventing material erosion in  plasma facing components.   As there is evidence for an inverse relation between ELM frequency and the energy contained within the mode, the instigation of rapid small ELMs is being investigated as a method for managing this heat flux.  This XP will extend the “ELM control by pellet pacing” joint experiment (ITPA PEP #30) by exploring the injection of multiple species of non-fueling solid granules.  We propose to inject boron carbide, carbon and lithium granules of multiple sizes into low frequency ELM-y H-modes to examine ablation rates and penetration depths as it relates to ELM pacing efficiency.  In addition we plan to characterize the impurity driven stimulated ELMs and compare these measurements to those generated by spontaneous ELMs.  We will also examine the effect of increased ELM frequency on the ELM size and divertor peak heat flux.  These findings will be compared to current results achieved elsewhere with deuterium pellet pacing. 
</t>
  </si>
  <si>
    <t>This effort can be combined with the controlled introduction of lithium by the particle control task force.  If a segmented dropper housing is not available for this XP,  the experiment will need to be split up into 3 half day segments to allow time to change the granule species within the dropper.  In addition, a realignment of the impeller will be necessary prior to lithium injection due to granule malleability.
</t>
  </si>
  <si>
    <t>0B5-iztf28QNJRHFmSzVwQVIzdDg</t>
  </si>
  <si>
    <t>https://docs.google.com/open?id=0B5-iztf28QNJRHFmSzVwQVIzdDg</t>
  </si>
  <si>
    <t>Doc Created @ Fri Feb 20 2015 08:40:11 GMT-0500 (EST); Doc Merged @ Fri Feb 20 2015 08:40:11 GMT-0500 (EST); Email Sent @ Fri Feb 20 2015 08:40:16 GMT-0500 (EST)(rlunsfor@pppl.gov,nstx-u@pppl.gov)</t>
  </si>
  <si>
    <t>0B5-iztf28QNJZUpDc0Mydmw1V3M</t>
  </si>
  <si>
    <t>https://docs.google.com/open?id=0B5-iztf28QNJZUpDc0Mydmw1V3M</t>
  </si>
  <si>
    <t>Doc Created @ Wed Feb 25 2015 06:26:50 GMT-0500 (EST); Doc Merged @ Wed Feb 25 2015 06:26:50 GMT-0500 (EST)</t>
  </si>
  <si>
    <t xml:space="preserve">Lithium granule injection into ELM free H-modes with lithium conditioned walls </t>
  </si>
  <si>
    <t>The introduction of lithium conditioning to the PFC’s of NSTX led to ELM free H-Modes.  While this generated enhanced confinement it has also led to a concomitant buildup of carbon impurities within the core of the plasma.  The use of solid granule injection has been shown as a method for generating controlled ELMs and clamping core impurities.  This XP will attempt to locate the minimum edge perturbation required to reliably initiate ELMs in a naturally ELM-free lithiated discharge.  Lithium granules of decreasing sizes will be injected into a baseline ELM free discharge to determine the minimum mass required to reliably trigger an ELM, in addition once this lower limit has been acquired, the granule injection frequency and velocity will be reduced until an approximate perturbative limit has been determined.    We will also look at ELM instigated clamping or flushing of core impurity buildup and if this also has an efficacy threshold in size and frequency.  Injection of boron carbide and/or vitreous carbon granules will also be considered  if time and conditions warrant.
</t>
  </si>
  <si>
    <t xml:space="preserve">Reliable reproduction of NSTX ELM free H-modes are a prerequisite </t>
  </si>
  <si>
    <t>0B5-iztf28QNJcHJyVE1tRmVtbk0</t>
  </si>
  <si>
    <t>https://docs.google.com/open?id=0B5-iztf28QNJcHJyVE1tRmVtbk0</t>
  </si>
  <si>
    <t>Doc Created @ Fri Feb 20 2015 09:38:48 GMT-0500 (EST); Doc Merged @ Fri Feb 20 2015 09:38:49 GMT-0500 (EST); Email Sent @ Fri Feb 20 2015 09:38:54 GMT-0500 (EST)(rlunsfor@pppl.gov,nstx-u@pppl.gov)</t>
  </si>
  <si>
    <t>0B5-iztf28QNJcjdCYkU1ektxVEE</t>
  </si>
  <si>
    <t>https://docs.google.com/open?id=0B5-iztf28QNJcjdCYkU1ektxVEE</t>
  </si>
  <si>
    <t>Doc Created @ Wed Feb 25 2015 06:27:00 GMT-0500 (EST); Doc Merged @ Wed Feb 25 2015 06:27:01 GMT-0500 (EST)</t>
  </si>
  <si>
    <t>Modification of TAE gap structure via rotation</t>
  </si>
  <si>
    <t>This XP will explore the modification of TAE gap structure caused by induced variations of the rotation profile. Rotation affects the gap structure via Doppler shift of the gap frequency. Varying rotation in a controlled way, e.g. through magnetic braking, may provide a means to affect the TAE stability without directly affecting the fast ion population. The two main goals are (i) explore a potential control tool for TAEs, and (ii) provide a set of data to challenge theories on TAE damping mechanisms.</t>
  </si>
  <si>
    <t>Requires well reproducible H-mode scenario with substantial TAE activity. Requires magnetic braking.</t>
  </si>
  <si>
    <t>0B5-iztf28QNJeTVqaXBIZ1d4VEE</t>
  </si>
  <si>
    <t>https://docs.google.com/open?id=0B5-iztf28QNJeTVqaXBIZ1d4VEE</t>
  </si>
  <si>
    <t>Doc Created @ Fri Feb 20 2015 09:18:30 GMT-0500 (EST); Doc Merged @ Fri Feb 20 2015 09:18:31 GMT-0500 (EST); Email Sent @ Fri Feb 20 2015 09:18:36 GMT-0500 (EST)(mpodesta@pppl.gov,nstx-u@pppl.gov)</t>
  </si>
  <si>
    <t>0B5-iztf28QNJSDFWSXdTRm1iUlk</t>
  </si>
  <si>
    <t>https://docs.google.com/open?id=0B5-iztf28QNJSDFWSXdTRm1iUlk</t>
  </si>
  <si>
    <t>Doc Created @ Wed Feb 25 2015 06:27:12 GMT-0500 (EST); Doc Merged @ Wed Feb 25 2015 06:27:12 GMT-0500 (EST)</t>
  </si>
  <si>
    <t>TAE stability vs. NBI injection parameters</t>
  </si>
  <si>
    <t>This experiment is aimed at a detailed scan of TAE stability vs. NBI injection parameters. Starting from a H-mode scenario with TAE activity, the NBI parameters will be varied to identify the portion(s) of fast ion phase space which is more strongly driving the modes unstable. Scans of NB injection energy and tangency radius are planned.</t>
  </si>
  <si>
    <t>All six NBI sources with voltage scan capability in the range 65-90keV. All fast ion and mode structure diagnostics needed.</t>
  </si>
  <si>
    <t>0B5-iztf28QNJNUtTS3liOFVKZ3M</t>
  </si>
  <si>
    <t>https://docs.google.com/open?id=0B5-iztf28QNJNUtTS3liOFVKZ3M</t>
  </si>
  <si>
    <t>Doc Created @ Fri Feb 20 2015 09:22:27 GMT-0500 (EST); Doc Merged @ Fri Feb 20 2015 09:22:28 GMT-0500 (EST); Email Sent @ Fri Feb 20 2015 09:22:33 GMT-0500 (EST)(mpodesta@pppl.gov,nstx-u@pppl.gov)</t>
  </si>
  <si>
    <t>0B5-iztf28QNJV0N4WE0zTFpvdjQ</t>
  </si>
  <si>
    <t>https://docs.google.com/open?id=0B5-iztf28QNJV0N4WE0zTFpvdjQ</t>
  </si>
  <si>
    <t>Doc Created @ Wed Feb 25 2015 06:27:21 GMT-0500 (EST); Doc Merged @ Wed Feb 25 2015 06:27:22 GMT-0500 (EST)</t>
  </si>
  <si>
    <t>Modification of fast ion distribution by RF</t>
  </si>
  <si>
    <t>Milestone R16-3</t>
  </si>
  <si>
    <t>HHFW injection in H-mode, NB-heated NSTX plasmas has proven challenging in the past. Some of the issues are caused by the interaction between NB ions and RF waves, which lead to fast ion acceleration and possible increase in the losses to the antenna limiter. Goal of this experiment is to investigate how RF modifies the NB ion distribution as a function of RF injection parameters. Scans of RF phasing and NBI parameters (injection energy, NB mix) are planned.</t>
  </si>
  <si>
    <t>HHFW system up &amp; running. Minimum useful RF power is 2MW. All fast ion diagnostics needed to monitor the fast ion distribution function.</t>
  </si>
  <si>
    <t>0B5-iztf28QNJRjU5NVp6dm1BbkU</t>
  </si>
  <si>
    <t>https://docs.google.com/open?id=0B5-iztf28QNJRjU5NVp6dm1BbkU</t>
  </si>
  <si>
    <t>Doc Created @ Fri Feb 20 2015 09:29:20 GMT-0500 (EST); Doc Merged @ Fri Feb 20 2015 09:29:21 GMT-0500 (EST); Email Sent @ Fri Feb 20 2015 09:29:25 GMT-0500 (EST)(mpodesta@pppl.gov,nstx-u@pppl.gov)</t>
  </si>
  <si>
    <t>0B5-iztf28QNJczZ3V09zRjZWMzA</t>
  </si>
  <si>
    <t>https://docs.google.com/open?id=0B5-iztf28QNJczZ3V09zRjZWMzA</t>
  </si>
  <si>
    <t>Doc Created @ Wed Feb 25 2015 06:27:31 GMT-0500 (EST); Doc Merged @ Wed Feb 25 2015 06:27:31 GMT-0500 (EST)</t>
  </si>
  <si>
    <t>Characterization of 2nd NBI line</t>
  </si>
  <si>
    <t>EP, ASC, MS, T&amp;T TSGs</t>
  </si>
  <si>
    <t>JRT-15, R15-2, ITPA Joint Experiment</t>
  </si>
  <si>
    <t>The goal of this cross-TSG XP is to provide an initial set of data for JRT-15 and Milestone R15-2. The operational space achievable with the 2nd NBI line (in addition to the 1st NB line that was available on NSTX) will be explored as a function of NB mix. H-mode, fiducial-like scenarios with injected NB power Pnb=4-6MW are foreseen as ideal target. Two sets of data will be collected to explore the dependence of (i) NB-driven current profile and efficiency and (ii) pressure profiles vs. NB mix. These sets will complement data from dedicated Ip/Bt scans obtained from other XPs.</t>
  </si>
  <si>
    <t>All 6 NB sources required. Main profile &amp; fast ion diagnostics (MPTS, CHERS, MSE, FIDA, ssNPAs, sFLIP, neutrons) needed. Requires reliable H-mode access and operation (fiducial-like scenario) with flat-top duration ~1sec or longer at Bt~0.65T, Ip~0.7MA.</t>
  </si>
  <si>
    <t>0B5-iztf28QNJM0hLaGFVMUg5NTA</t>
  </si>
  <si>
    <t>https://docs.google.com/open?id=0B5-iztf28QNJM0hLaGFVMUg5NTA</t>
  </si>
  <si>
    <t>Doc Created @ Fri Feb 20 2015 09:49:09 GMT-0500 (EST); Doc Merged @ Fri Feb 20 2015 09:49:10 GMT-0500 (EST); Email Sent @ Fri Feb 20 2015 09:49:15 GMT-0500 (EST)(mpodesta@pppl.gov,nstx-u@pppl.gov)</t>
  </si>
  <si>
    <t>0B5-iztf28QNJTGxLcEZWcHV0SDg</t>
  </si>
  <si>
    <t>https://docs.google.com/open?id=0B5-iztf28QNJTGxLcEZWcHV0SDg</t>
  </si>
  <si>
    <t>Doc Created @ Wed Feb 25 2015 06:27:43 GMT-0500 (EST); Doc Merged @ Wed Feb 25 2015 06:27:44 GMT-0500 (EST)</t>
  </si>
  <si>
    <t>Effect of low frequency MHD mode on the fast ions redistribution</t>
  </si>
  <si>
    <t>Guangzhou</t>
  </si>
  <si>
    <t>Hao</t>
  </si>
  <si>
    <t>ghao@pppl.gov</t>
  </si>
  <si>
    <t>D.Y.Liu, W.W.Heidbrink, A.Bortolon,G.J.Kramer, M.Podesta, E.Fredrickson,Y.Q.Liu</t>
  </si>
  <si>
    <t>R(15-2)</t>
  </si>
  <si>
    <t>The confinement/transport of fast ions is important for many areas of fusion research, not only the plasma heating, the MHD instability and the generation of non-inductive current, but also the potential effects on plasma facing materials. Previous experiments in NSTX have shown that the onset of a low-frequency (~ 20 kHz) MHD mode has significant effect on the fast ion redistribution in the configuration space. In these experiments, the appearance of low-f mode is robust during the neutral beam injection (NBI).  On the other hand, the characteristics of the low-f mode and its influence on fast ion redistribution are still ambiguous. This proposal aims at better physics understanding of these two aspects. This is facilitated by the newly updated NBI system that greatly extends the adjustment flexibility of the deposition and inject angle of neutral beams. It is proposed to explore the influence of low-f mode on population/redistribution of various neutral beam particles.</t>
  </si>
  <si>
    <t>T-FIDA
V-FIDA
SSNPA
sFLIP
CHERS
MSE
SXR
Analysis code: SPIRAL</t>
  </si>
  <si>
    <t>0B5-iztf28QNJLWdOVkxqMDVlWmM</t>
  </si>
  <si>
    <t>https://docs.google.com/open?id=0B5-iztf28QNJLWdOVkxqMDVlWmM</t>
  </si>
  <si>
    <t>Doc Created @ Fri Feb 20 2015 09:53:18 GMT-0500 (EST); Doc Merged @ Fri Feb 20 2015 09:53:18 GMT-0500 (EST); Email Sent @ Fri Feb 20 2015 09:53:24 GMT-0500 (EST)(ghao@pppl.gov,nstx-u@pppl.gov)</t>
  </si>
  <si>
    <t>0B5-iztf28QNJOXd2UVlHbWtHVzA</t>
  </si>
  <si>
    <t>https://docs.google.com/open?id=0B5-iztf28QNJOXd2UVlHbWtHVzA</t>
  </si>
  <si>
    <t>Doc Created @ Wed Feb 25 2015 06:28:04 GMT-0500 (EST); Doc Merged @ Wed Feb 25 2015 06:28:04 GMT-0500 (EST)</t>
  </si>
  <si>
    <t>Exploration of I-mode regime on NSTX</t>
  </si>
  <si>
    <t>Amanda</t>
  </si>
  <si>
    <t>Hubbard</t>
  </si>
  <si>
    <t>hubbard@psfc.mit.edu</t>
  </si>
  <si>
    <t>Jerry Hughes, Rajesh Maingi, John Canik</t>
  </si>
  <si>
    <t>ITPA PEP-31, TC-19</t>
  </si>
  <si>
    <t>The  I-mode regime features high energy confinement with low (L-mode) particle confinement.  This would be very valuable for fusion generally, and for particle control in STs specifically.   The regime has been produced on C-Mod, AUG and DIII-D, via ITPA studies.  It has yet to be studied in an ST; an experiment was approved but not run in 2011.  Access on NSTX would provide unique information on threshold scalings (size, B, r/a, dimensionless plasma variables).
New results in 2014 suggest access is best at higher B, hence we would prefer the maximum field feasible this campaign for initial attempts; if this is not the full 1.0 T we may wish to do just one day now and follow up next campaign.  Need to run unbalanced SN, unfavorable drift.    NBI power would be ramped or stepped slowly towards the L-H transition; we anticipate an intermediate I-mode phase with a T barrier but no change in ne.   Target density will be scanned shot to shot to map out the access conditions and confinement.    
Submitting initial experiments for Pedestal.  If successful this regime would be a valuable new tool for the Particle Control task force likely leading to follow up experiments for optimization and characterization.</t>
  </si>
  <si>
    <t>Unbalanced SN, unfavorable drift
Critical diagnostics are those for pedestal profiles and fluctuations; high resolution edge TS is essential.</t>
  </si>
  <si>
    <t>0B5-iztf28QNJY0x2NWhPZVgzalE</t>
  </si>
  <si>
    <t>https://docs.google.com/open?id=0B5-iztf28QNJY0x2NWhPZVgzalE</t>
  </si>
  <si>
    <t>Doc Created @ Fri Feb 20 2015 10:28:51 GMT-0500 (EST); Doc Merged @ Fri Feb 20 2015 10:28:52 GMT-0500 (EST); Email Sent @ Fri Feb 20 2015 10:28:57 GMT-0500 (EST)(hubbard@psfc.mit.edu,nstx-u@pppl.gov)</t>
  </si>
  <si>
    <t>0B5-iztf28QNJeGd6TTNHSmFXV2c</t>
  </si>
  <si>
    <t>https://docs.google.com/open?id=0B5-iztf28QNJeGd6TTNHSmFXV2c</t>
  </si>
  <si>
    <t>Doc Created @ Wed Feb 25 2015 06:28:15 GMT-0500 (EST); Doc Merged @ Wed Feb 25 2015 06:28:15 GMT-0500 (EST)</t>
  </si>
  <si>
    <t>2D observations of GAM and zero-frequency zonal flows</t>
  </si>
  <si>
    <t>David</t>
  </si>
  <si>
    <t>Smith</t>
  </si>
  <si>
    <t>drsmith@pppl.gov</t>
  </si>
  <si>
    <t>R. Fonck, G. McKee</t>
  </si>
  <si>
    <t>University of Wisconsin</t>
  </si>
  <si>
    <t>R15-1 for H-mode confinement variation with Ip and P_NBI; mission element for uniques ST parameter regimes; and 5YR priority for q variation</t>
  </si>
  <si>
    <t>Plasma turbulence self-regulates through zonal flow (ZF) generation, and the reconfigured 2D BES system on NSTX-U provides a new diagnostic capability for zonal flow observations.  Measurements from the 2D BES system on DIII-D show zero-mean-frequency (ZMF) ZFs in the near-pedestal region (r/a~0.8) and GAM ZFs in the pedestal (r/a~0.95).  In this experiment, we propose to document ZFs and expected ZF dependences in NSTX-U by leveraging the new 2D imaging capabilities of the BES system.  The proposed experiment includes a q scan because GAM ZFs preferentially occur at high q, and a PNBI scan because the GAM frequency scales with temperature.  Zonal flows are best observed in L-mode with large amplitude turbulence, and strategies to prolong the L-mode phase include inner-wall limited or USN diverted operations and HFS fueling.  To avoid MHD activity, we will target low Ip scenarios.</t>
  </si>
  <si>
    <t>2D BES</t>
  </si>
  <si>
    <t>0B5-iztf28QNJcUpEaU14V1hPYjQ</t>
  </si>
  <si>
    <t>https://docs.google.com/open?id=0B5-iztf28QNJcUpEaU14V1hPYjQ</t>
  </si>
  <si>
    <t>Doc Created @ Fri Feb 20 2015 10:31:00 GMT-0500 (EST); Doc Merged @ Fri Feb 20 2015 10:31:00 GMT-0500 (EST); Email Sent @ Fri Feb 20 2015 10:31:07 GMT-0500 (EST)(drsmith@pppl.gov,nstx-u@pppl.gov)</t>
  </si>
  <si>
    <t>0B5-iztf28QNJX3EwcWRyNjQySk0</t>
  </si>
  <si>
    <t>https://docs.google.com/open?id=0B5-iztf28QNJX3EwcWRyNjQySk0</t>
  </si>
  <si>
    <t>Doc Created @ Wed Feb 25 2015 06:28:29 GMT-0500 (EST); Doc Merged @ Wed Feb 25 2015 06:28:30 GMT-0500 (EST)</t>
  </si>
  <si>
    <t>Investigations of nonlinear ELM dynamics</t>
  </si>
  <si>
    <t>M. Bongard, R. Fonck, G. McKee, K. Thome</t>
  </si>
  <si>
    <t>R15-1 for H-mode confinement and pedestal characteristics; R16-1 for scaling of transient heat fluxes.</t>
  </si>
  <si>
    <t>With complementary measurements from 2D, high-speed BES on DIII-D and NSTX-U and in-situ, high-speed probes on Pegasus, the UW collaboration is pursuing a multi-machine investigation of nonlinear ELM dynamics for comparison to nonlinear simulations (e.g. NIMROD).  A predictive understanding of tokamak edge stability is needed to effectively mitigate deleterious consequences of ELMs and their associated heat and particle fluxes on plasma-facing materials in next-step burning plasma devices. While linear, peeling-ballooning ELM models can identify onset conditions for the most challenging Type I ELMs, only nonlinear models can address ELM intensity, saturation mechanisms, and filament dynamics pertinent to PFC limits.  Also, standard ELM taxonomy schemes do not address the dynamical evolution of ELM events on Alfven timescales and do not provide first-principle models.  Previous BES observations of ELM events on NSTX point to two ELM groups with distinct nonlinear evolution patterns and distinct parameter regimes (draft paper available).  Specifically, ELM groups with distinct evolution patterns segregate in terms of Ip, q, tau, kappa, and drsep.  Here, we propose to reproduce plasma conditions and ELMs that correspond to the identified ELM groups, and then scan parameters that correlate with the ELM groups, for instance Ip, kappa, drsep.  The 2D BES system will document the nonlinear dynamics and evolution of ELM events in the 2D density field.  The experiment seeks to validate the ELM density evolution patterns previously identified and provide a controlled dataset of ELMs for further analysis and nonlinear model validation.  We expect this experiment will be part of an extended multi-machine effort that targets nonlinear ELM dynamics with measurements in all relevant fields (Jedge(R,t), Nedge(R,Z,t), Phi(R,Z,t)).</t>
  </si>
  <si>
    <t>0B5-iztf28QNJcWs3MUpaY1hoNEk</t>
  </si>
  <si>
    <t>https://docs.google.com/open?id=0B5-iztf28QNJcWs3MUpaY1hoNEk</t>
  </si>
  <si>
    <t>Doc Created @ Fri Feb 20 2015 10:34:33 GMT-0500 (EST); Doc Merged @ Fri Feb 20 2015 10:34:34 GMT-0500 (EST); Email Sent @ Fri Feb 20 2015 10:34:41 GMT-0500 (EST)(drsmith@pppl.gov,nstx-u@pppl.gov)</t>
  </si>
  <si>
    <t>0B5-iztf28QNJWmZGNUtpTnBTd2c</t>
  </si>
  <si>
    <t>https://docs.google.com/open?id=0B5-iztf28QNJWmZGNUtpTnBTd2c</t>
  </si>
  <si>
    <t>Doc Created @ Wed Feb 25 2015 06:28:40 GMT-0500 (EST); Doc Merged @ Wed Feb 25 2015 06:28:40 GMT-0500 (EST)</t>
  </si>
  <si>
    <t>Using 2D BES measurements to resolve the in-situ HHFW wavefield</t>
  </si>
  <si>
    <t>R16-3 for fast-wave core heating; 5 yr priorities for non-inductive operation</t>
  </si>
  <si>
    <t>Experiments on the Phaedrus-T tokamak demonstrated direct observation of RF wavefields with BES measurements.  Running two ICRF antennae at slightly different frequencies results in a local density perturbation at the beat frequency, which falls in the BES detection range. Here, we seek to demonstrate 2D imaging of the HHFW density field on NSTX-U with BES measurements.  The 2D BES system samples at a 1 MHz Nyquist frequency, so the measurement requires tuning the RF sources with a ~10 kHz offset (or as high as possible) to enable observations at the beat frequency. BES measurements will require either NBI “blips” or continuous injection.  If successful, this technique will facilitate a new experimental campaign  for HHFW model validation.</t>
  </si>
  <si>
    <t>2D BES, RF, possibly NBI "blips"</t>
  </si>
  <si>
    <t>0B5-iztf28QNJZ3Y3U0lQZ21tOUk</t>
  </si>
  <si>
    <t>https://docs.google.com/open?id=0B5-iztf28QNJZ3Y3U0lQZ21tOUk</t>
  </si>
  <si>
    <t>Doc Created @ Fri Feb 20 2015 10:37:51 GMT-0500 (EST); Doc Merged @ Fri Feb 20 2015 10:37:52 GMT-0500 (EST); Email Sent @ Fri Feb 20 2015 10:37:58 GMT-0500 (EST)(drsmith@pppl.gov,nstx-u@pppl.gov)</t>
  </si>
  <si>
    <t>0B5-iztf28QNJRVJ0MXZCeW5OVGs</t>
  </si>
  <si>
    <t>https://docs.google.com/open?id=0B5-iztf28QNJRVJ0MXZCeW5OVGs</t>
  </si>
  <si>
    <t>Doc Created @ Wed Feb 25 2015 06:28:51 GMT-0500 (EST); Doc Merged @ Wed Feb 25 2015 06:28:51 GMT-0500 (EST)</t>
  </si>
  <si>
    <t>Dependence of low-k turbulence properties on rho* in the ST</t>
  </si>
  <si>
    <t>G. McKee</t>
  </si>
  <si>
    <t>NSTX-U mission element for unique ST parameter regimes for predictive capabilities and R15-1 for H-mode confinement characteristics.</t>
  </si>
  <si>
    <t>Modern experiments can achieve nearly all of the dimensionless parameters expected in ITER and future burning plasmas, with the exception of rho*, essentially a size scaling parameters. Thus the scaling of transport with rho* is of particular important in extrapolating present experiments and confinement scaling to ITER. Previous experiments (DIII-D, McKee et al, Nuclear Fusion, 2001) showed that radial and poloidal correlation lengths and wavenumber spectra scaled in a fashion consistent with predictions from the gyrokinetic equations, namely that correlation lengths scale with the gyroradius. In addition, fluctuation amplitude and decorrelation time scaled in a manner consistent with gyro-Bohm scaling. The ST has shown different confinement scaling behavior (vs. Ip and Bt) than is observed in standard tokamaks (Kaye et al PRL), suggesting that a different underlying mechanism might be at play.  Experimental plan:  Vary rho* by varying the toroidal field over the maximum range attainable while keeping dimensionless parameters nearly constant with the exception of rho*.  Measure 2D turbulence characteristics  with BES and other fluctuation diagnostics, and ultimately assess their scaling with rho*.</t>
  </si>
  <si>
    <t>0B5-iztf28QNJRjBXVFdsajVKQUU</t>
  </si>
  <si>
    <t>https://docs.google.com/open?id=0B5-iztf28QNJRjBXVFdsajVKQUU</t>
  </si>
  <si>
    <t>Doc Created @ Fri Feb 20 2015 10:40:38 GMT-0500 (EST); Doc Merged @ Fri Feb 20 2015 10:40:38 GMT-0500 (EST); Email Sent @ Fri Feb 20 2015 10:40:46 GMT-0500 (EST)(drsmith@pppl.gov,nstx-u@pppl.gov)</t>
  </si>
  <si>
    <t>0B5-iztf28QNJUFJETGozYk5GWjg</t>
  </si>
  <si>
    <t>https://docs.google.com/open?id=0B5-iztf28QNJUFJETGozYk5GWjg</t>
  </si>
  <si>
    <t>Doc Created @ Wed Feb 25 2015 06:29:01 GMT-0500 (EST); Doc Merged @ Wed Feb 25 2015 06:29:01 GMT-0500 (EST)</t>
  </si>
  <si>
    <t>Perturbative momentum transport in NSTX-U L and H modes</t>
  </si>
  <si>
    <t>Walter</t>
  </si>
  <si>
    <t>Guttenfelder</t>
  </si>
  <si>
    <t>wgutten@pppl.gov</t>
  </si>
  <si>
    <t>S.M. Kaye, W. Solomon, Y. Ren, D. Smith, R.E. Bell, B.P. LeBlanc, M. Podesta, F. Scotti, H. Yuh, W. Wang</t>
  </si>
  <si>
    <t>ITPA TC-15</t>
  </si>
  <si>
    <t>An anomalous momentum pinch was measured previously in NSTX H-modes.  The measurements were found to be similar to analytic theory predictions based on electrostatic drift waves.  However, neither the measurements nor analytic theory agree with gyrokinetic simulations performed using the actual NSTX data, due at least partially to complications arising from the relatively high beta in H-modes.  To address this discrepancy, the first part of this experiment will measure perturbative momentum transport in L-mode plasmas at low beta.  This will be explored via two methods: (1) using short (10-50 ms) application of external 3D fields to perturb the plasma flow, from which the recovery of the rotation can be used to infer diffusive and convective components (following Kaye &amp; Solomon), and (2) using continuous NBI modulation coupled with Fourier analysis, assuming sufficiently long (&gt;500 ms) quiescent phases can be maintained.  If possible, scans in toroidal field, plasma current and plasma density will be pursued to determine parametric dependencies.
The second part of this experiment will revisit momentum transport in H-modes.  Steady state core rotation profiles were found to change significantly with progressive application of Lithium wall conditioning in NSTX.  This experiment will measure perturbative momentum transport (exploring both RMP and NBI modulation methods) to H-modes with varying degree of Lithium conditioning to explore the potential change in momentum pinch.
The resulting diffusive and convective transport measurements, and corresponding turbulence measurements (from BES, reflectometry) in both L and H modes will be compared with gyrokinetic predictions, and will contribute to an ITPA task (TC-15).
</t>
  </si>
  <si>
    <t>Ideally require MHD-quiescent long-pulse (&gt;1 s) NBI heated L-modes and H-modes.
Diagnostics: CHERS with NBI modulation (OK to only use sources 1A-1C), MPTS, MSE, BES, reflectometry. If longer pulses are available (~2 s), consider adding impurity puff later in discharge to simultaneously acquire impurity transport data.
</t>
  </si>
  <si>
    <t>0B5-iztf28QNJLXRaSmk5NE8wSzg</t>
  </si>
  <si>
    <t>https://docs.google.com/open?id=0B5-iztf28QNJLXRaSmk5NE8wSzg</t>
  </si>
  <si>
    <t>Doc Created @ Fri Feb 20 2015 10:54:23 GMT-0500 (EST); Doc Merged @ Fri Feb 20 2015 10:54:23 GMT-0500 (EST); Email Sent @ Fri Feb 20 2015 10:54:28 GMT-0500 (EST)(wgutten@pppl.gov,nstx-u@pppl.gov)</t>
  </si>
  <si>
    <t>0B5-iztf28QNJSWY1OEkxTTd4X2c</t>
  </si>
  <si>
    <t>https://docs.google.com/open?id=0B5-iztf28QNJSWY1OEkxTTd4X2c</t>
  </si>
  <si>
    <t>Doc Created @ Wed Feb 25 2015 06:29:10 GMT-0500 (EST); Doc Merged @ Wed Feb 25 2015 06:29:11 GMT-0500 (EST)</t>
  </si>
  <si>
    <t>Toroidal divertor flux deposition asymmetries due to localized gas injection</t>
  </si>
  <si>
    <t>Jeremy</t>
  </si>
  <si>
    <t>Lore</t>
  </si>
  <si>
    <t>lorejd@ornl.gov</t>
  </si>
  <si>
    <t>R,A, Pitts</t>
  </si>
  <si>
    <t>Divertor and SOL TSG Thrust 1 - Assess and control divertor heat and particle fluxes</t>
  </si>
  <si>
    <t>	ITER will operate extrinsic gas seeding injected through a set of toroidally spaced localized gas injectors located below the divertor cassettes to control the radiated power level, degree of divertor detachment, and fluxes to the plasma facing components (PFCs).  Of concern are asymmetries in the fluxes to the PFCs as a result of this localized injection, particularly if under gas valve failure scenarios. Experiments were performed at the request of the ITER organization on Alcator C-Mod to investigate these effects, showing toroidal asymmetries in radiated power and divertor electron pressure in L-mode plasmas [J.D. Lore, et al., J. Nucl. Mater., (2014) DOI:0.1016 / j.jnucmat.2014.09.053]. These asymmetries were strongly reduced in similar experiments performed in H-mode, with the differences attributed to the location of the ionization location of the injected impurities, supported by 3D edge modeling using the EMC3-EIRENE code [J.D. Lore, et al., Phys. Plasmas, (2015) In Press]. 
	This XP proposes similar experiments to be performed on NSTX-U, facilitated by the broad coverage of divertor cameras in a spherical tokamak geometry. For highest ITER relevance, high-power H-mode discharges would be detached via gas puff using both divertor valves, with any evident asymmetries assessed using divertor cameras. Once a clear baseline was established a single valve would be used, with the active valve changed over two shots to achieve the broadest diagnostic coverage. Operation in L-mode, or low-power H-mode would allow for the relationship between impurity ionization and asymmetry to be investigated. Ideally recycling and non-recycling gasses would be investigated (suggest N2 and Ne).
</t>
  </si>
  <si>
    <t>0B5-iztf28QNJTjJ6VzVtcld1VVE</t>
  </si>
  <si>
    <t>https://docs.google.com/open?id=0B5-iztf28QNJTjJ6VzVtcld1VVE</t>
  </si>
  <si>
    <t>Doc Created @ Fri Feb 20 2015 11:07:50 GMT-0500 (EST); Doc Merged @ Fri Feb 20 2015 11:07:51 GMT-0500 (EST); Email Sent @ Fri Feb 20 2015 11:08:32 GMT-0500 (EST)(lorejd@ornl.gov,nstx-u@pppl.gov)</t>
  </si>
  <si>
    <t>0B5-iztf28QNJdzJwRjhORkdpMm8</t>
  </si>
  <si>
    <t>https://docs.google.com/open?id=0B5-iztf28QNJdzJwRjhORkdpMm8</t>
  </si>
  <si>
    <t>Doc Created @ Wed Feb 25 2015 06:29:21 GMT-0500 (EST); Doc Merged @ Wed Feb 25 2015 06:29:21 GMT-0500 (EST)</t>
  </si>
  <si>
    <t>ELM pacing with 3D fields in boronization operational phase for main ion control</t>
  </si>
  <si>
    <t>J.M. Canik</t>
  </si>
  <si>
    <t xml:space="preserve">	R(15-3): Develop the physics and operational tools for obtaining high-performance discharges in NSTX-U </t>
  </si>
  <si>
    <t>	ELM pacing via 3D field pulses have been successfully used to control the otherwise secular increase in electron density and radiated power in discharges with lithium wall conditioning. Although controlled ELM pacing has not yet been attempted in plasmas with boronization wall conditioning, which typically have uncontrolled main ion accumulation, previous experiments have shown that ELMs can be destabilized with DC 3D fields during ELM free (or small ELM) phases. This proposal will attempt to establish on-demand ELM pacing via 3D field pulses during with boronization to control deuterium accumulation.  3D field pulse trains (n=3) will be applied at various frequencies. The amplitude will be optimized such to find an operating point above the ELM triggering threshold, but below a level at which the ELMs expel a significant fraction of the stored energy. Main ion and impurity diagnostics will be monitored to assess the effect on particle control. 3D field waveform and plasma shape (e.g., elongation) will be adjusted to produce a discharge with reliable triggering and stationary conditions.</t>
  </si>
  <si>
    <t>Square wave n=3 3D field pulses with RWM coils</t>
  </si>
  <si>
    <t>0B5-iztf28QNJdW1OS0J3NzdrdFE</t>
  </si>
  <si>
    <t>https://docs.google.com/open?id=0B5-iztf28QNJdW1OS0J3NzdrdFE</t>
  </si>
  <si>
    <t>Doc Created @ Fri Feb 20 2015 11:08:56 GMT-0500 (EST); Doc Merged @ Fri Feb 20 2015 11:08:56 GMT-0500 (EST); Email Sent @ Fri Feb 20 2015 11:09:07 GMT-0500 (EST)(lorejd@ornl.gov,nstx-u@pppl.gov)</t>
  </si>
  <si>
    <t>0B5-iztf28QNJQXNmUE5hRUtqSzg</t>
  </si>
  <si>
    <t>https://docs.google.com/open?id=0B5-iztf28QNJQXNmUE5hRUtqSzg</t>
  </si>
  <si>
    <t>Doc Created @ Wed Feb 25 2015 06:29:30 GMT-0500 (EST); Doc Merged @ Wed Feb 25 2015 06:29:31 GMT-0500 (EST)</t>
  </si>
  <si>
    <t>Combining ELM pacing with divertor gas injection for impurity control</t>
  </si>
  <si>
    <t>	Previous experiments have demonstrated on-demand triggering of ELMs via application of n=3 3D fields on NSTX. These paced ELMs can be used to control the otherwise secular increase in electron density and radiated power in Lithium wall-conditioned discharges without natural ELMs. However, at the pacing frequencies necessary to completely stop the increase in radiated power, core tearing modes are triggered. To reduce the demand on the ELM triggering, this proposal aims to add divertor deuterium gas puffing, which has been shown to reduce the core carbon density and ramp rate, to the ELM pacing. Ideally these two effects can be synergistically combined such that a reduced ELM triggering frequency can applied to get the same net effect on the impurity accumulation without triggering core modes. Operationally a n=3 pacing shot will be loaded, and a pacing frequency scan performed to establish impurity flushing and core degradation baselines. Then the divertor gas puff will be added as in a discharge that has good impurity reduction, and puff parameters adjusted to maximize the impurity reduction. Finally, scan the pacing frequency with gas puff to see if the the impurity flushing occurs at a lower frequency.</t>
  </si>
  <si>
    <t>0B5-iztf28QNJV0swTW50bEkyWmc</t>
  </si>
  <si>
    <t>https://docs.google.com/open?id=0B5-iztf28QNJV0swTW50bEkyWmc</t>
  </si>
  <si>
    <t>Doc Created @ Fri Feb 20 2015 11:16:34 GMT-0500 (EST); Doc Merged @ Fri Feb 20 2015 11:16:34 GMT-0500 (EST); Email Sent @ Fri Feb 20 2015 11:16:41 GMT-0500 (EST)(lorejd@ornl.gov,nstx-u@pppl.gov)</t>
  </si>
  <si>
    <t>0B5-iztf28QNJc1RyRTI4S0dBNTg</t>
  </si>
  <si>
    <t>https://docs.google.com/open?id=0B5-iztf28QNJc1RyRTI4S0dBNTg</t>
  </si>
  <si>
    <t>Doc Created @ Wed Feb 25 2015 06:29:40 GMT-0500 (EST); Doc Merged @ Wed Feb 25 2015 06:29:41 GMT-0500 (EST)</t>
  </si>
  <si>
    <t>Can SOL heating from HHFW improve pedestal stability?</t>
  </si>
  <si>
    <t>A. Diallo, R. Fonck, G. McKee</t>
  </si>
  <si>
    <t>R16-3 for fast-wave SOL losses; 5 yr priority for ST regimes at reduced nu.</t>
  </si>
  <si>
    <t>Non-optimal HHFW operation can produce SOL heating, so we propose documenting temperatures and turbulent dynamics in the pedestal and SOL during a HHFW power scan in non-optimal operation modes.  Higher SOL temperatures may reduce temperature and pressure gradients across the pedestal and improve pedestal stability.  2D BES measurements will document turbulent dynamics in the pedestal and SOL.  If successful, non-optimal HHFW operation can provide a new tool for modifying the pedestal/SOL temperature and collisionality.</t>
  </si>
  <si>
    <t>HHFW operation, 2D BES, NBI "blips"</t>
  </si>
  <si>
    <t>0B5-iztf28QNJQmp0bjZZX3JfWjQ</t>
  </si>
  <si>
    <t>https://docs.google.com/open?id=0B5-iztf28QNJQmp0bjZZX3JfWjQ</t>
  </si>
  <si>
    <t>Doc Created @ Fri Feb 20 2015 11:16:49 GMT-0500 (EST); Doc Merged @ Fri Feb 20 2015 11:16:49 GMT-0500 (EST); Email Sent @ Fri Feb 20 2015 11:16:55 GMT-0500 (EST)(drsmith@pppl.gov,nstx-u@pppl.gov)</t>
  </si>
  <si>
    <t>0B5-iztf28QNJWDVmTHJ3U1pLbDg</t>
  </si>
  <si>
    <t>https://docs.google.com/open?id=0B5-iztf28QNJWDVmTHJ3U1pLbDg</t>
  </si>
  <si>
    <t>Doc Created @ Wed Feb 25 2015 06:29:50 GMT-0500 (EST); Doc Merged @ Wed Feb 25 2015 06:29:50 GMT-0500 (EST)</t>
  </si>
  <si>
    <t>Resonant ELM frequency behavior as a function of q95 with 3D fields</t>
  </si>
  <si>
    <t>J.M. Canik, R. Maingi</t>
  </si>
  <si>
    <t xml:space="preserve">R(15-1): Assess H-mode energy confinement, pedestal, and scrape-off-layer characteristics with higher BT, Ip and NBI heating power </t>
  </si>
  <si>
    <t>	Goal, importance, and plan of proposal (2000 character Limit)
	The goal of the proposed XP is to search for search for dependencies of the ELM frequency on q95 in ELMy H-mode during the application of 3D fields.  At JET multiple resonant q95 values at which the ELM frequency is greatly increased (4-5x) have been found during low-n 3D field application [Y. Liang et al., Phys. Rev. Lett. 105, 065001 (2010)]. The resonances in JET can be very narrow, necessitating a slow plasma current ramp. 
	To investigate this effect at NSTX, the plasma current will be slowly ramped during a discharge, holding other parameters constant.  Initial target should have an intermediate ELM frequency (~80Hz). Each shot should ramp q95 by ~1, decreasing the initial q95 each time with a ~0.5 overlap between each shot. When good targets have been achieved, apply n=3 3D fields.  Search for sharp changes in ELM frequency, which would indicate resonant q95 values. Based on JET results, n=1 or mixed n=2 and 3 pulses may show structure more clearly. Pedestal diagnostics can be used to look for effect on pedestal pressure gradient. 
	Note: Can be run with Boronization or passivated lithium (need natural ELMs)
</t>
  </si>
  <si>
    <t>	3D field pulses</t>
  </si>
  <si>
    <t>0B5-iztf28QNJZHhQXzJqQThqWTA</t>
  </si>
  <si>
    <t>https://docs.google.com/open?id=0B5-iztf28QNJZHhQXzJqQThqWTA</t>
  </si>
  <si>
    <t>Doc Created @ Fri Feb 20 2015 11:17:18 GMT-0500 (EST); Doc Merged @ Fri Feb 20 2015 11:17:19 GMT-0500 (EST); Email Sent @ Fri Feb 20 2015 11:17:25 GMT-0500 (EST)(lorejd@ornl.gov,nstx-u@pppl.gov)</t>
  </si>
  <si>
    <t>0B5-iztf28QNJVUlZRW1CUDhMMmc</t>
  </si>
  <si>
    <t>https://docs.google.com/open?id=0B5-iztf28QNJVUlZRW1CUDhMMmc</t>
  </si>
  <si>
    <t>Doc Created @ Wed Feb 25 2015 06:29:59 GMT-0500 (EST); Doc Merged @ Wed Feb 25 2015 06:30:00 GMT-0500 (EST)</t>
  </si>
  <si>
    <t>Actuator Sharing and Integrated Control Demonstration for ITER</t>
  </si>
  <si>
    <t>Joseph</t>
  </si>
  <si>
    <t>Snipes</t>
  </si>
  <si>
    <t>joseph.snipes@iter.org</t>
  </si>
  <si>
    <t>Egemen Kolemen</t>
  </si>
  <si>
    <t>France</t>
  </si>
  <si>
    <t>ITER (France)</t>
  </si>
  <si>
    <t>JRT-15: FES 3 Facility Joint Research Target / Milestone: Conduct experiments and analysis to quantify the impact of broadened current and pressure profiles on tokamak plasma confinement and stability      R(15-3): Develop the physics and operational tools for obtaining high-performance discharges in NSTX-U</t>
  </si>
  <si>
    <t>The ITER Plasma Control System (PCS) Preliminary Design is now being developed and expected to be reviewed by the end of 2016.  A major uncertainty in the design is how to manage shared actuators and to integrate multiple simultaneous control functions in the PCS architecture effectively to reach and sustain high plasma performance.  Demonstration of the feasibility of shared actuator management to achieve and sustain high performance operation on existing devices will help to define the PCS architecture approach for ITER.  More specifically, should actuator management be performed before each controller in a supervisory way or should actuator management be performed between the controller and the actuator?  Experiments designed to test the advantages and disadvantages of these approaches for multiple control schemes would be valuable to determine the best approach for ITER.  Possible shared actuator and integrated control schemes to be attempted on NSTX include 1) ELM control (3D fields) + divertor detachment control (gas puffing) + core radiation control (central heating); 2) ELM control + EFC with 3D fields + rotation control and real-time kink resonance measurement through q ramp; 3) simultaneous control of beta_N, the q profile, and plasma rotation with NBI.</t>
  </si>
  <si>
    <t>Shared actuator and integrated control schemes need to be developed.  While initial demonstrations could be carried out under lower performance conditions, the integrated control capability should be carried out under high plasma performance conditions with high heating power.</t>
  </si>
  <si>
    <t>0B5-iztf28QNJd0F6UTU5RzhKWXc</t>
  </si>
  <si>
    <t>https://docs.google.com/open?id=0B5-iztf28QNJd0F6UTU5RzhKWXc</t>
  </si>
  <si>
    <t>Doc Created @ Fri Feb 20 2015 11:53:22 GMT-0500 (EST); Doc Merged @ Fri Feb 20 2015 11:53:23 GMT-0500 (EST); Email Sent @ Fri Feb 20 2015 11:53:27 GMT-0500 (EST)(joseph.snipes@iter.org,nstx-u@pppl.gov)</t>
  </si>
  <si>
    <t>0B5-iztf28QNJWWhobm00aG1NMVE</t>
  </si>
  <si>
    <t>https://docs.google.com/open?id=0B5-iztf28QNJWWhobm00aG1NMVE</t>
  </si>
  <si>
    <t>Doc Created @ Wed Feb 25 2015 06:30:12 GMT-0500 (EST); Doc Merged @ Wed Feb 25 2015 06:30:12 GMT-0500 (EST)</t>
  </si>
  <si>
    <t>Study of the chemical evolution during transition from B to Li-based conditioning on D retention in NSTX-U with the Materials Analysis Particle Probe (MAPP)</t>
  </si>
  <si>
    <t>Jean Paul</t>
  </si>
  <si>
    <t>Rajesh Maingi, Felipe Bedoya, Robert Kaita, Robert Ellis, Matt Lucia, Charles Skinner</t>
  </si>
  <si>
    <t>Boronization has been known to improve plasma performance. In NSTX boron conditioning it has had mixed results.  While initial conditioning would improve plasma performance, over time this performance was found to degrade requiring reconditioning.  Li conditioning has also been found to enhance performance in NSTX plasmas.  These improvements from Li conditioning have been connected, in part, to the role of H retention.  With the transition from boronized wall conditions in the longer-pulse NSTX-U to lithiumization questions remain open about its impact on H retention and plasma performance. Boronization and lithiumuzation of graphite are related with the reduction of the influx impurities from the walls to the plasma and deuterium recycling. The effects of Li on deuterium retention are time dependent, and intercalation and passivation play an important role on the evolution of the properties of lithiated graphite. Therefore the transition of B to Li conditioning as well as the impact of longer pulses on lithiumization and plasma performance in NSTX-U is important to investigate. Objectives:
Relate to plasma conditions the effect of boronization. This includes:  characterization of graphitic surfaces immediately after boronization and study of the evolution of the surface as a function of time, boronization time and plasma shots.
Characterization of the B/Li transition in NSTX-U first wall. This includes: obtain a base line of boronized surfaces previous to Li deposition, study of retention and presence of impurities on the during the transition and study of oxide states of lithium and their immediate intercalation with time. 
Study evolution of plasma performance as a function of Li deposited on graphite, this includes: study of evolution of lithiated graphite subjected to passivation of Li coatings and Li intercalation in graphite matrix and study of the effect of plasma on the chemistry of lithiated graphite, with emphasis on the quantification of D retention.
</t>
  </si>
  <si>
    <t>0B5-iztf28QNJdzczY19USU95MHc</t>
  </si>
  <si>
    <t>https://docs.google.com/open?id=0B5-iztf28QNJdzczY19USU95MHc</t>
  </si>
  <si>
    <t>Doc Created @ Sun Feb 22 2015 14:23:23 GMT-0500 (EST); Doc Merged @ Sun Feb 22 2015 14:23:24 GMT-0500 (EST); Email Sent @ Sun Feb 22 2015 14:23:30 GMT-0500 (EST)(allain@illinois.edu,nstx-u@pppl.gov)</t>
  </si>
  <si>
    <t>0B5-iztf28QNJOFJodWdPeWV4UlE</t>
  </si>
  <si>
    <t>https://docs.google.com/open?id=0B5-iztf28QNJOFJodWdPeWV4UlE</t>
  </si>
  <si>
    <t>Doc Created @ Wed Feb 25 2015 06:30:22 GMT-0500 (EST); Doc Merged @ Wed Feb 25 2015 06:30:22 GMT-0500 (EST)</t>
  </si>
  <si>
    <t>Current profile controllability scoping study</t>
  </si>
  <si>
    <t>S. Gerhardt, D. Gates, S.A. Sabbagh, E. Kolemen, D. Mueller, D. Battaglia, E. Schuster, Z. Ilhan</t>
  </si>
  <si>
    <t>15-2,15-3,JRT-15</t>
  </si>
  <si>
    <t>The goal of this XP is to identify scenarios that are well suited for initial studies of feedback control of the current profile using the second NBI and to generate data to validate models of the current profile evolution that will be used for designing control algorithms. Based on the results of TRANSP scans, a scan of total power, beam source combinations, plasma current, and toroidal field will be conducted. Once a promising scenario is identified, actuator modulations (individual beams, outer-gap size, density) will be done in several shots to assess the current profile dynamic response to these changes and the effect of beam pulse-width modulation. Variations in actuator trajectories during the ramp-up will also be done to assess controllability and the applicability of TRANSP and control-oriented reduced models to this phase of the discharge.</t>
  </si>
  <si>
    <t>Need the updated PCS code for the beam control checked-out. Parts of this XP could be spread over multiple days. Profile diagnostics for TRANSP analysis required.</t>
  </si>
  <si>
    <t>0B5-iztf28QNJeEdxd1ZPZUJSWmc</t>
  </si>
  <si>
    <t>https://docs.google.com/open?id=0B5-iztf28QNJeEdxd1ZPZUJSWmc</t>
  </si>
  <si>
    <t>Doc Created @ Fri Feb 20 2015 12:26:50 GMT-0500 (EST); Doc Merged @ Fri Feb 20 2015 12:26:51 GMT-0500 (EST); Email Sent @ Fri Feb 20 2015 12:26:56 GMT-0500 (EST)(mboyer@pppl.gov,nstx-u@pppl.gov)</t>
  </si>
  <si>
    <t>0B5-iztf28QNJdl9lZGJMeDU4Tmc</t>
  </si>
  <si>
    <t>https://docs.google.com/open?id=0B5-iztf28QNJdl9lZGJMeDU4Tmc</t>
  </si>
  <si>
    <t>Doc Created @ Wed Feb 25 2015 06:30:31 GMT-0500 (EST); Doc Merged @ Wed Feb 25 2015 06:30:31 GMT-0500 (EST)</t>
  </si>
  <si>
    <t>Obtain 2D divertor density image using lithium emission</t>
  </si>
  <si>
    <t>Oliver</t>
  </si>
  <si>
    <t>Schmitz</t>
  </si>
  <si>
    <t>oschmitz@wisc.edu</t>
  </si>
  <si>
    <t>Joon-Wook Ahn, Kurt Flesh, Heinke Frerichs, Rajesh Maingi, Jorge Munoz-Burgos, Vlad Soukhanovskii, Ian Waters</t>
  </si>
  <si>
    <t>Other</t>
  </si>
  <si>
    <t>Lithium conditioning related milestones, divertor and neutral physics related milestones</t>
  </si>
  <si>
    <t>Lithium is used as first wall coating. At the same time it can be used to measure plasma density from line integrated spectroscopy signals (e.g. [O. Schmitz et al PPCF 50 (2008) 115004]). The excellent full 2D view of the NSTX-U lower divertor plates with CCD and IR cameras open access to the required line emission data. A suited atomic model is available right away from the efforts described in the paper listed. We propose to equip the CCD cameras monitoring the lower divertor with Li filter and apply pour atomic model for reconstruction of 2D divertor electron density fields. These measurements will be an important input to understand divertor recycling and the resulting neutralization and ionization dynamics in the NSTX-U divertor.</t>
  </si>
  <si>
    <t>Lithium coating necessary, study of signal strength on Lithium coating would be beneficial, so we would like to follow the lithium conditioning with CCD camera observation, otherwise piggy-back experiment</t>
  </si>
  <si>
    <t>0B5-iztf28QNJVlhmMkFzb3hJMDA</t>
  </si>
  <si>
    <t>https://docs.google.com/open?id=0B5-iztf28QNJVlhmMkFzb3hJMDA</t>
  </si>
  <si>
    <t>Doc Created @ Fri Feb 20 2015 12:32:00 GMT-0500 (EST); Doc Merged @ Fri Feb 20 2015 12:32:00 GMT-0500 (EST); Email Sent @ Fri Feb 20 2015 12:32:07 GMT-0500 (EST)(oschmitz@wisc.edu,nstx-u@pppl.gov)</t>
  </si>
  <si>
    <t>0B5-iztf28QNJNFBrSXg3ZlVPVkk</t>
  </si>
  <si>
    <t>https://docs.google.com/open?id=0B5-iztf28QNJNFBrSXg3ZlVPVkk</t>
  </si>
  <si>
    <t>Doc Created @ Wed Feb 25 2015 06:30:41 GMT-0500 (EST); Doc Merged @ Wed Feb 25 2015 06:30:41 GMT-0500 (EST)</t>
  </si>
  <si>
    <t>Assess high-Z granule injection</t>
  </si>
  <si>
    <t xml:space="preserve">Vlad </t>
  </si>
  <si>
    <t>Soukhanovskii</t>
  </si>
  <si>
    <t>vlad@pppl.gov</t>
  </si>
  <si>
    <t>Robert Lunsford</t>
  </si>
  <si>
    <t>Lawrence Livermore National Laboratory</t>
  </si>
  <si>
    <t>RM FY2017</t>
  </si>
  <si>
    <t>Use the last day of the FY2015 run to inject Mo and W granules in minimal quantities (1-10 granules, 5e19 particles each). The goal is to document granule penetration, high-Z emission in the edge and core plasma, and assess if LGI can be used for high-Z transport experiments. Divertor Mo and W fluxes will be assessed w.r.t. magnitude of material injected in the plasma and deposited in the strike point vicinity.</t>
  </si>
  <si>
    <t>Execute on the last day of FY2015 run.
1) Mo and W granules (on order)
2) LGI commissioned
3) Diagnostics operational (MPTS, EUV spectrometers,Divertor spectrometers, bolometry, etc)</t>
  </si>
  <si>
    <t>0B5-iztf28QNJenE4VFdTVVZtMm8</t>
  </si>
  <si>
    <t>https://docs.google.com/open?id=0B5-iztf28QNJenE4VFdTVVZtMm8</t>
  </si>
  <si>
    <t>Doc Created @ Fri Feb 20 2015 12:34:43 GMT-0500 (EST); Doc Merged @ Fri Feb 20 2015 12:34:43 GMT-0500 (EST); Email Sent @ Fri Feb 20 2015 12:34:46 GMT-0500 (EST)(vlad@pppl.gov,nstx-u@pppl.gov)</t>
  </si>
  <si>
    <t>0B5-iztf28QNJZzhIbW83WVFJWWs</t>
  </si>
  <si>
    <t>https://docs.google.com/open?id=0B5-iztf28QNJZzhIbW83WVFJWWs</t>
  </si>
  <si>
    <t>Doc Created @ Wed Feb 25 2015 06:30:50 GMT-0500 (EST); Doc Merged @ Wed Feb 25 2015 06:30:51 GMT-0500 (EST)</t>
  </si>
  <si>
    <t>Radiative divertor experiments</t>
  </si>
  <si>
    <t>Vlad</t>
  </si>
  <si>
    <t>Many, TBD</t>
  </si>
  <si>
    <t>R(16-1)</t>
  </si>
  <si>
    <t>1) Assess radiative divertor operating space and heat flux mitigation in two LSN shapes (high delta, low-delta) with D2, CD4, Ne, Ar seeding. 2) Assess impurity radiation, recombination, and heat flux toroidal asymmetries with wide-angle cameras. 3) Assess pedestal temperature degradation. 4) At best seeded impurity and rate, assess partial detachment threshold and radial extend vs SOL power width (e.g. change I_p). The experiment should prepare the basis for radiative divertor optimization with highest input power in FY16-17.</t>
  </si>
  <si>
    <t>Divertor X-point/strike point control, all critical divertor and pedestal diagnostics.</t>
  </si>
  <si>
    <t>0B5-iztf28QNJX1R3UlB2UUVwc0U</t>
  </si>
  <si>
    <t>https://docs.google.com/open?id=0B5-iztf28QNJX1R3UlB2UUVwc0U</t>
  </si>
  <si>
    <t>Doc Created @ Fri Feb 20 2015 12:57:52 GMT-0500 (EST); Doc Merged @ Fri Feb 20 2015 12:57:53 GMT-0500 (EST); Email Sent @ Fri Feb 20 2015 12:57:58 GMT-0500 (EST)(vlad@pppl.gov,nstx-u@pppl.gov)</t>
  </si>
  <si>
    <t>0B5-iztf28QNJOXJudkxRWGxSYXc</t>
  </si>
  <si>
    <t>https://docs.google.com/open?id=0B5-iztf28QNJOXJudkxRWGxSYXc</t>
  </si>
  <si>
    <t>Doc Created @ Wed Feb 25 2015 06:31:00 GMT-0500 (EST); Doc Merged @ Wed Feb 25 2015 06:31:00 GMT-0500 (EST)</t>
  </si>
  <si>
    <t>Investigating influence of rotation profile on transport and turbulence</t>
  </si>
  <si>
    <t>N. Crocker, S.M. Kaye, J.K. Park, Y. Ren, D. Smith, R.E. Bell, B.P. LeBlanc, M. Podesta, H. Yuh, W. Wang</t>
  </si>
  <si>
    <t>Toroidal rotation and corresponding ExB shear are expected to play a significant role in setting transport, both through effects on microturbulence and possibly through GAE/CAE mode structures thought to influence near-axis electron thermal transport.  With the addition of a second neutral beam, coupled with the availability of external 3D field perturbations to provide NTV torque, NSTX-U will have incredible flexibility to vary the toroidal rotation profile.  This experiment will use various combinations of all neutral beam sources, as well as application of external 3D fields, to systematically vary the rotation profile and investigate the influence on both transport and turbulence (BES, reflectometry) measurements.  Higher current scenarios would be targeted to minimize the corresponding changes in q profile associated with changes in NBI current drive.  The results will be used to help validate both gyrokinetic and GAE/CAE predictions.</t>
  </si>
  <si>
    <t>Diagnostics: CHERS with appropriate NBI modulations to measure in presence of 2nd NBI, MPTS, MSE, BES. If longer pulses are available (~2 s), consider adding impurity puff later in discharge to simultaneously acquire impurity transport data.</t>
  </si>
  <si>
    <t>0B5-iztf28QNJRU1pX1liU25kWGs</t>
  </si>
  <si>
    <t>https://docs.google.com/open?id=0B5-iztf28QNJRU1pX1liU25kWGs</t>
  </si>
  <si>
    <t>Doc Created @ Fri Feb 20 2015 13:01:23 GMT-0500 (EST); Doc Merged @ Fri Feb 20 2015 13:01:24 GMT-0500 (EST); Email Sent @ Fri Feb 20 2015 13:01:29 GMT-0500 (EST)(wgutten@pppl.gov,nstx-u@pppl.gov)</t>
  </si>
  <si>
    <t>0B5-iztf28QNJRnEzVWttVkxnb2s</t>
  </si>
  <si>
    <t>https://docs.google.com/open?id=0B5-iztf28QNJRnEzVWttVkxnb2s</t>
  </si>
  <si>
    <t>Doc Created @ Wed Feb 25 2015 06:31:10 GMT-0500 (EST); Doc Merged @ Wed Feb 25 2015 06:31:10 GMT-0500 (EST)</t>
  </si>
  <si>
    <t>Recycling and pumping with lithium coatings</t>
  </si>
  <si>
    <t>Document poloidal distribution of recycling, and apply particle balance model to infer wall pumping throughout the transition from boronzed PFCs to lithium coatings. Use SGI pulse technique to infer relative recycling coefficients in different poloidal locations. Use spectroscopy to measure H/D ratios.
Correlate measurements with MAPP retention measurements if possible.</t>
  </si>
  <si>
    <t>0B5-iztf28QNJZzNJY2lJNHZqbFU</t>
  </si>
  <si>
    <t>https://docs.google.com/open?id=0B5-iztf28QNJZzNJY2lJNHZqbFU</t>
  </si>
  <si>
    <t>Doc Created @ Fri Feb 20 2015 13:02:58 GMT-0500 (EST); Doc Merged @ Fri Feb 20 2015 13:02:59 GMT-0500 (EST); Email Sent @ Fri Feb 20 2015 13:03:04 GMT-0500 (EST)(vlad@pppl.gov,nstx-u@pppl.gov)</t>
  </si>
  <si>
    <t>0B5-iztf28QNJbkVCa2gwT1ZYRUU</t>
  </si>
  <si>
    <t>https://docs.google.com/open?id=0B5-iztf28QNJbkVCa2gwT1ZYRUU</t>
  </si>
  <si>
    <t>Doc Created @ Wed Feb 25 2015 06:31:19 GMT-0500 (EST); Doc Merged @ Wed Feb 25 2015 06:31:20 GMT-0500 (EST)</t>
  </si>
  <si>
    <t>Initial snowflake divertor with Pre-programmed coils</t>
  </si>
  <si>
    <t>Develop snowflake-minus and plus configurations using pre-programed divertor coil currents and minimal shape control (e.g. ISOFLUX). Use PF1C in reversed polarity to apply the NSTX snowflake algorithm. Compare obtained coil currents with the modeled currents from ISOLVER.</t>
  </si>
  <si>
    <t>0B5-iztf28QNJUXpZdldMeFVRcDQ</t>
  </si>
  <si>
    <t>https://docs.google.com/open?id=0B5-iztf28QNJUXpZdldMeFVRcDQ</t>
  </si>
  <si>
    <t>Doc Created @ Fri Feb 20 2015 13:11:51 GMT-0500 (EST); Doc Merged @ Fri Feb 20 2015 13:11:51 GMT-0500 (EST); Email Sent @ Fri Feb 20 2015 13:11:55 GMT-0500 (EST)(vlad@pppl.gov,nstx-u@pppl.gov)</t>
  </si>
  <si>
    <t>0B5-iztf28QNJd25MWGhiUTY5TW8</t>
  </si>
  <si>
    <t>https://docs.google.com/open?id=0B5-iztf28QNJd25MWGhiUTY5TW8</t>
  </si>
  <si>
    <t>Doc Created @ Wed Feb 25 2015 06:31:30 GMT-0500 (EST); Doc Merged @ Wed Feb 25 2015 06:31:30 GMT-0500 (EST)</t>
  </si>
  <si>
    <t>Divertor gas puff effect on impurity reduction</t>
  </si>
  <si>
    <t>In NSTX, divertor gas puffing was used to significantly reduce core carbon and metal concentrations and P_rad. However, UEDGE modeling, contrary to expectations did not show much physical and chemical carbon source reduction. Repeat the experiment with increased D2 seeding rates and attempt to resolve via measurements and UEDGE modeling modifications in 1) divertor carbon source 2) parallel impurity force balance 3) separatrix carbon source 4) edge Ti, ni gradients and carbon transport. What role does lithium play in neoclassical edge transport - it would be useful to try this XP before and after the lithium application.</t>
  </si>
  <si>
    <t xml:space="preserve">  </t>
  </si>
  <si>
    <t>0B5-iztf28QNJN2F1VFpXa3hKSVk</t>
  </si>
  <si>
    <t>https://docs.google.com/open?id=0B5-iztf28QNJN2F1VFpXa3hKSVk</t>
  </si>
  <si>
    <t>Doc Created @ Fri Feb 20 2015 13:23:30 GMT-0500 (EST); Doc Merged @ Fri Feb 20 2015 13:23:31 GMT-0500 (EST); Email Sent @ Fri Feb 20 2015 13:23:37 GMT-0500 (EST)(vlad@pppl.gov,nstx-u@pppl.gov)</t>
  </si>
  <si>
    <t>0B5-iztf28QNJNjYxYmgyMzNiOEE</t>
  </si>
  <si>
    <t>https://docs.google.com/open?id=0B5-iztf28QNJNjYxYmgyMzNiOEE</t>
  </si>
  <si>
    <t>Doc Created @ Wed Feb 25 2015 06:31:39 GMT-0500 (EST); Doc Merged @ Wed Feb 25 2015 06:31:40 GMT-0500 (EST)</t>
  </si>
  <si>
    <t>Disruption PAM Characterization, Measurements, and Criteria</t>
  </si>
  <si>
    <t>J.W. Berkery, Y.S. Park, R. Raman, S. Gerhardt, et al. for the NSTX-U DPAM Working Group</t>
  </si>
  <si>
    <t>R(15-3), ITPA MDC-21, ITPA MDC-22</t>
  </si>
  <si>
    <t>This experimental analysis and related analysis tool development will develop a characterization of disruptions for NSTX-U as the initial step in the disruption prediction and avoidance system to produce reduced disruptivity in NSTX-U, and mitigating the impact of disruptions when they cannot be avoided. This work will be conducting in piggyback on NSTX-U plasmas and will focus on disruption characterization as it serves the goal of reduced disruptivity, evaluation of measurements used/needed to aid this goal, and the expanded determination of criteria (including physics models) for disruption avoidance. The latter two elements will distinguish offline and real-time elements, which will aid in determining and prioritizing future real-time elements that could improve DPAM.
This work follows directly from the main goal of the NSTX-U DPAM Working Group as defined in the initial group meeting (slides available at: http://nstx.pppl.gov/DragNDrop/Working_Groups/DPAM/2015/DPAM_mtg_1-30-15/DPAM-WG-mtg-1-30-15-v14.pdf ). The pioneering analysis by S.P. Gerhardt, et al. (Nucl. Fusion 53 (2013) 063021) forms a basis of comparison for the present work regarding database approaches to DPAM. Dedicated experiments to produce reduced disruptivity via active mode control on NSTX forms a basis for the mode avoidance aspect of the present work (e.g. S.A. Sabbagh, et al., Nucl. Fusion 53 (2013) 104007). Several tokamaks are now performing related work (e.g. AUG – G. Pautasso, et al., EPS 2014), inspired by past work on JET (e.g. P.C. de Vries, et al., Nucl. Fusion 51 (2011) 053018).
The entire assessment and analysis described in this XP will be performed in piggyback on NSTX-U plasmas, and back-checking against existing NSTX data.
</t>
  </si>
  <si>
    <t>Operations/Development:
The analysis will be performed in piggyback. It is desired, but not required, that NSTX-U operations adopt a standard “controlled shutdown” procedure for NSTX-U plasmas, which is presently under discussion.
Diagnostics:
RWM sensors, CHERS, USXR, ME-SXR, standard magnetics, etc. - the analysis performed will determine the most useful diagnostics and modeling for disruption prediction and avoidance purposes.
Analysis:
NSTX-U EFIT, DCON, MISK, NTVTOK, etc.
</t>
  </si>
  <si>
    <t>0B5-iztf28QNJOWY1Yi1zYUhFUkE</t>
  </si>
  <si>
    <t>https://docs.google.com/open?id=0B5-iztf28QNJOWY1Yi1zYUhFUkE</t>
  </si>
  <si>
    <t>Doc Created @ Fri Feb 20 2015 13:55:50 GMT-0500 (EST); Doc Merged @ Fri Feb 20 2015 13:55:50 GMT-0500 (EST); Email Sent @ Fri Feb 20 2015 13:55:54 GMT-0500 (EST)(sabbagh@pppl.gov,nstx-u@pppl.gov)</t>
  </si>
  <si>
    <t>0B5-iztf28QNJNzh2MzJNdmdjMlE</t>
  </si>
  <si>
    <t>https://docs.google.com/open?id=0B5-iztf28QNJNzh2MzJNdmdjMlE</t>
  </si>
  <si>
    <t>Doc Created @ Wed Feb 25 2015 06:31:49 GMT-0500 (EST); Doc Merged @ Wed Feb 25 2015 06:31:49 GMT-0500 (EST)</t>
  </si>
  <si>
    <t>Effects of different impurities on pedestal structure</t>
  </si>
  <si>
    <t>Tom</t>
  </si>
  <si>
    <t>Osborne</t>
  </si>
  <si>
    <t>osborne@fusion.gat.com</t>
  </si>
  <si>
    <t>Ahmed Diallo, Rajesh Maingi, Carine Giroud, Samuli Saarelma, Marc Beurskens, Matthew Leyland, Mike Dunne, Lorenzo Frassinetti,  Eli Viezzer</t>
  </si>
  <si>
    <t>ITPA PEP-37</t>
  </si>
  <si>
    <t>The impurity charge and density in the pedestal region can effect pedestal pressure through main ion dilution and effects on bootstrap current. This experiment will explore the effects of different impurities on pedestal structure under B and Li conditioning. Key physics may be illuminated at low aspect ratio in relation to experiments on DIII-D and JET. This experiment will contribute to joint experiments on JET, ASDEX, TCV, CMOD an DIII-D looking at the effects of low Z impurities on the pedestal under ITPA PEP-37.</t>
  </si>
  <si>
    <t>He, N, Ne, Ar puffing, B, Li dropper.
Comparison of low and high triangularity shapes.</t>
  </si>
  <si>
    <t>0B5-iztf28QNJNzdDZUlMVjVfUjA</t>
  </si>
  <si>
    <t>https://docs.google.com/open?id=0B5-iztf28QNJNzdDZUlMVjVfUjA</t>
  </si>
  <si>
    <t>Doc Created @ Fri Feb 20 2015 13:56:55 GMT-0500 (EST); Doc Merged @ Fri Feb 20 2015 13:56:55 GMT-0500 (EST); Email Sent @ Fri Feb 20 2015 13:56:59 GMT-0500 (EST)(osborne@fusion.gat.com,nstx-u@pppl.gov)</t>
  </si>
  <si>
    <t>0B5-iztf28QNJNUVpUzI3WlhBdE0</t>
  </si>
  <si>
    <t>https://docs.google.com/open?id=0B5-iztf28QNJNUVpUzI3WlhBdE0</t>
  </si>
  <si>
    <t>Doc Created @ Wed Feb 25 2015 06:31:59 GMT-0500 (EST); Doc Merged @ Wed Feb 25 2015 06:32:00 GMT-0500 (EST)</t>
  </si>
  <si>
    <t>Pedestal peeling-ballooning mode stability along the ballooning boundary</t>
  </si>
  <si>
    <t>The pedestal peeling-ballooning mode stability limit along the ballooning boundary is uncertain due to uncertainties in the strength of the diamagnetic stabilization and other physics. Experiments at low aspect ratio could on NSTX could illuminate key physics and test developing theories. Results could impact performance predictions for future devices including ITER.</t>
  </si>
  <si>
    <t>Requires low triangularity shape.</t>
  </si>
  <si>
    <t>0B5-iztf28QNJdHRJTVQ1bldZM0E</t>
  </si>
  <si>
    <t>https://docs.google.com/open?id=0B5-iztf28QNJdHRJTVQ1bldZM0E</t>
  </si>
  <si>
    <t>Doc Created @ Fri Feb 20 2015 14:04:06 GMT-0500 (EST); Doc Merged @ Fri Feb 20 2015 14:04:07 GMT-0500 (EST); Email Sent @ Fri Feb 20 2015 14:04:13 GMT-0500 (EST)(osborne@fusion.gat.com,nstx-u@pppl.gov)</t>
  </si>
  <si>
    <t>0B5-iztf28QNJWWVpbng3ZGpIUUk</t>
  </si>
  <si>
    <t>https://docs.google.com/open?id=0B5-iztf28QNJWWVpbng3ZGpIUUk</t>
  </si>
  <si>
    <t>Doc Created @ Wed Feb 25 2015 06:32:09 GMT-0500 (EST); Doc Merged @ Wed Feb 25 2015 06:32:09 GMT-0500 (EST)</t>
  </si>
  <si>
    <t>Core Impurity Transport Measurements at Fixed q-Profile using the new ME-SXR Diagnostic.</t>
  </si>
  <si>
    <t>Jorge</t>
  </si>
  <si>
    <t>Munoz-Burgos</t>
  </si>
  <si>
    <t>jmunozbu@pppl.gov</t>
  </si>
  <si>
    <t>K. Tritz (JHU), D. Stutman (JHU), and L. Delgado-Aparicio (PPPL)</t>
  </si>
  <si>
    <t>Johns Hopkins University</t>
  </si>
  <si>
    <t>Thrust 3, ITPA: TC-11, TC-15</t>
  </si>
  <si>
    <t>Previous experiments assessing low-Z impurity transport in the core of a neutral beam heated, high-confinement H-mode plasma with low-field/low-aspect ratio in NSTX, have shown impurity transport to be in good agreement with neoclassical theory [1]. Good agreement with neoclassical theory has also been observed during magnetic field and current scans at fixed q-profiles, as well as temperature scans at constant plasma density in NSTX [2]. Studies on the impact of rotation in low-density H-mode have shown that heavy and not fully stripped impurities with high Mach numbers can experience core diffusivities several times larger than the neoclassical predictions [2]. The goal of this experiment is to measure impurity transport in the core of NSTX-U in beam-heated H-mode plasmas with and without helium gas puffs using the new multi-energy soft-x-ray (ME-SXR) diagnostic [3], with constant q-profiles while scanning the plasma current from 0.9 to 1.4 MA, and the magnetic field from 0.40 to 0.63 T. This experiment will allow a direct comparison of transport measurements to those from NSTX [2], as well as exploring the impact of higher field and current regimes in the impurity transport. The second part of the experiment consists of normalized collisionality ν* scan with constant q-profile for both medium and high-current/field conditions using PNBI 1 power/torque scan from 2 to 6 MW. This experiment will also allow testing and evaluation of the new ME-SXR diagnostic, which can also be used for fast measurement of Te profiles in the core [4]. We request day-and-a-half of experiments w/ and w/o Ne-puffs [1-2] for both the field-current scan, and the PNBI 1 scan.
References.-
[1] L. Delgado-Aparicio, et al., NF, 49, 085028, (2009).
[2] L. Delgado-Aparicio, et al., NF, 51, 083047, (2011).
[3] K. Tritz, et al, RSI, 83, 10E109, (2012).
[4] D. J. Clayton, et al, Plasma Phys. Control Fusion, 55, 095015, (2013).
</t>
  </si>
  <si>
    <t>Key diagnostics are CHERS, TS, the new ME-SXR diagnostic [3], and AXUV-based “bolometer” systems [5].
References.-
[5] L. Delgado-Aparicio, et al., RSI, 85, 11D859 (2014).
</t>
  </si>
  <si>
    <t>0B5-iztf28QNJZmh2VU9HTndubEE</t>
  </si>
  <si>
    <t>https://docs.google.com/open?id=0B5-iztf28QNJZmh2VU9HTndubEE</t>
  </si>
  <si>
    <t>Doc Created @ Fri Feb 20 2015 14:17:29 GMT-0500 (EST); Doc Merged @ Fri Feb 20 2015 14:17:30 GMT-0500 (EST); Email Sent @ Fri Feb 20 2015 14:17:36 GMT-0500 (EST)(jmunozbu@pppl.gov,nstx-u@pppl.gov)</t>
  </si>
  <si>
    <t>0B5-iztf28QNJR1JJc2thSnBSUDg</t>
  </si>
  <si>
    <t>https://docs.google.com/open?id=0B5-iztf28QNJR1JJc2thSnBSUDg</t>
  </si>
  <si>
    <t>Doc Created @ Wed Feb 25 2015 06:32:18 GMT-0500 (EST); Doc Merged @ Wed Feb 25 2015 06:32:20 GMT-0500 (EST)</t>
  </si>
  <si>
    <t>Snowflake control development</t>
  </si>
  <si>
    <t>TBD</t>
  </si>
  <si>
    <t>Develop snowflake-plus and snowflake-minus real-time feedback control with the following elements.
1) Implement Makowski null-point tracker;
2) Develop and implement null-point seniority (what is the primary null, what is the secondary null);
3) Implement inter-null distance control;
Keep null-point orientation fixed at -45 or 45 degrees corresponding to snowflake-plus and snowflake-minus.
Exact snowflake will be obtained in the asymptotic limit of inter-null distance -&gt; 0.
</t>
  </si>
  <si>
    <t>rtEFIT running and PCS gurus involved</t>
  </si>
  <si>
    <t>0B5-iztf28QNJaEJUVFdhdXF6MXM</t>
  </si>
  <si>
    <t>https://docs.google.com/open?id=0B5-iztf28QNJaEJUVFdhdXF6MXM</t>
  </si>
  <si>
    <t>Doc Created @ Fri Feb 20 2015 14:19:00 GMT-0500 (EST); Doc Merged @ Fri Feb 20 2015 14:19:00 GMT-0500 (EST); Email Sent @ Fri Feb 20 2015 14:19:04 GMT-0500 (EST)(vlad@pppl.gov,nstx-u@pppl.gov)</t>
  </si>
  <si>
    <t>0B5-iztf28QNJZVdTLUdjMmV1VzQ</t>
  </si>
  <si>
    <t>https://docs.google.com/open?id=0B5-iztf28QNJZVdTLUdjMmV1VzQ</t>
  </si>
  <si>
    <t>Doc Created @ Wed Feb 25 2015 06:32:29 GMT-0500 (EST); Doc Merged @ Wed Feb 25 2015 06:32:29 GMT-0500 (EST)</t>
  </si>
  <si>
    <t>Perturbed edge impurity transport</t>
  </si>
  <si>
    <t>Kevin</t>
  </si>
  <si>
    <t>Tritz</t>
  </si>
  <si>
    <t>ktritz@pppl.gov</t>
  </si>
  <si>
    <t>Jorge Munoz Burgos, Dan Stutman, Luis Delgado-Aparicio</t>
  </si>
  <si>
    <t>T&amp;T Thrust 3, ITPA TC-11, ITPA TC-24</t>
  </si>
  <si>
    <t>The goal of this XP is to assess the effects of perturbations at the plasma boundary on edge impurity transport. Previous use of lithium surfaces on NSTX has led to large amounts of impurity accumulation, especially in discharges with suppressed ELMs. Various solutions have been proposed to alleviate this problem: the application of 3D magnetic fields to perturb the boundary; triggering ELMs using small lithium pellet injection. Furthermore, the use of edge 3D fields in ITER and future devices is planned for ELM pacing and/or MHD control. The effects of such perturbations on transport may have a large impact on the accumulation or expulsion of impurities in the plasma. This XP proposes to investigate both of these techniques in two parts using the high-resolution edge ME-SXR system to measure neon impurity transport.
A) Select a stable and quiescent moderate to high power H-mode with low levels of MHD activity, especially at r/a &gt; 0.8 as the baseline scenario. Take combinations of shots with and without neon puffs while increasing the current in the RWM coils using a mode configuration that provides the least penetration of the magnetic perturbation. Increase the levels of RWM current up to the levels at which ELMs begin to be triggered to compare with part B.
B) Use the same baseline scenario from part A. Take combinations of shots with and without neon puffs while varying the frequency and size of the lithium pellet injector.  If possible, use pellet size and frequency to compare the effects of large ELMs vs smaller, more frequent ELMs, on the transport of neon.</t>
  </si>
  <si>
    <t>Lithium pellet injection</t>
  </si>
  <si>
    <t>0B5-iztf28QNJN0E0RW5SZ1BrWUU</t>
  </si>
  <si>
    <t>https://docs.google.com/open?id=0B5-iztf28QNJN0E0RW5SZ1BrWUU</t>
  </si>
  <si>
    <t>Doc Created @ Fri Feb 20 2015 14:39:39 GMT-0500 (EST); Doc Merged @ Fri Feb 20 2015 14:39:40 GMT-0500 (EST); Email Sent @ Fri Feb 20 2015 14:39:52 GMT-0500 (EST)(ktritz@pppl.gov,nstx-u@pppl.gov)</t>
  </si>
  <si>
    <t>0B5-iztf28QNJQzhqRW9hakIxSmM</t>
  </si>
  <si>
    <t>https://docs.google.com/open?id=0B5-iztf28QNJQzhqRW9hakIxSmM</t>
  </si>
  <si>
    <t>Doc Created @ Wed Feb 25 2015 06:32:39 GMT-0500 (EST); Doc Merged @ Wed Feb 25 2015 06:32:40 GMT-0500 (EST)</t>
  </si>
  <si>
    <t>Correlation of *AE bursts with fast core Te profiles</t>
  </si>
  <si>
    <t>Jorge Munoz Burgos, Dan Stutman, Neal Crocker, Nikolai Gorelenkov</t>
  </si>
  <si>
    <t>T&amp;T Thrust 2</t>
  </si>
  <si>
    <t>The goal of this XP is to try and observe, directly, the impact of GAE/CAE instabilities on the core electron temperature profile via enhanced thermal transport. Previous experiments have revealed that high frequency *AE instabilities may contribute to the large measured levels of electron thermal transport on NSTX. Furthermore, measurements of the density fluctuations associated with the *AE instabilities have revealed a ‘bursting’ character with time scales of ~1ms. By taking a simplified diffusive relationship, r = sqrt(chi * t), and the measured chi values of ~60 m^2/s, we should perhaps see changes in the profile over a core region of ~10-20cm. While the standard MPTS measurement of electron temperature has too low of a sampling frequency to detect this effect, the new ME-SXR diagnostic has demonstrated measurements of electron temperature profiles at a ~10kHz sampling rate. The goal is to use this capability to correlate measured changes in the core electron temperature profile with the bursting activity of high frequency *AE modes.
Shot plan: Initially piggy-back on other *AE XPs, identify shot candidates for further statistical evaluation using future XP.</t>
  </si>
  <si>
    <t>0B5-iztf28QNJYUtHYjZDWFJ5c0U</t>
  </si>
  <si>
    <t>https://docs.google.com/open?id=0B5-iztf28QNJYUtHYjZDWFJ5c0U</t>
  </si>
  <si>
    <t>Doc Created @ Fri Feb 20 2015 14:42:20 GMT-0500 (EST); Doc Merged @ Fri Feb 20 2015 14:42:21 GMT-0500 (EST); Email Sent @ Fri Feb 20 2015 14:42:26 GMT-0500 (EST)(ktritz@pppl.gov,nstx-u@pppl.gov)</t>
  </si>
  <si>
    <t>0B5-iztf28QNJNWw1Sk9PSFUyNWM</t>
  </si>
  <si>
    <t>https://docs.google.com/open?id=0B5-iztf28QNJNWw1Sk9PSFUyNWM</t>
  </si>
  <si>
    <t>Doc Created @ Wed Feb 25 2015 06:32:49 GMT-0500 (EST); Doc Merged @ Wed Feb 25 2015 06:32:50 GMT-0500 (EST)</t>
  </si>
  <si>
    <t>Disruption halo current studies in NSTX-U</t>
  </si>
  <si>
    <t>S. P. Gerhardt, D. Boyer, D. Brennan, and S. Jardin</t>
  </si>
  <si>
    <t>ITPA MDC-15 &amp; MDC-22, JRT16</t>
  </si>
  <si>
    <t>Tokamak disruptions often produce halo currents in the surrounding vessel that can generate unacceptably large mechanical forces on the machine.  Substantial progress was made in quantifying non-axisymmetric halo currents in NSTX [Gerhardt 2013].  Using the halo current shunt tile array in NSTX-U (which includes inboard tiles on the new center stack), we will assess the halo currents generated in the higher performance high beta plasmas of NSTX-U.
Much of the requisite halo current data for this XP will likely be available from piggybacking on other experiments.  One example would be D. Boyer’s vertical control optimization XP.  It should be noted that the planned automatic shutdown “dud detector” may prevent the generation of substantial halo currents during standard NSTX-U operation.  In this event, it may be desirable to turn off the dud detector in experiments that are likely to produce halo current data.  As for the requested 0.25 run days, it may be useful to establish a baseline for the largest VDEs in a given scenario for comparison to controlled shutdown events.</t>
  </si>
  <si>
    <t>Shots:  Halo-current-producing discharges without “dud detector” in operation.
Need:  Magnetics, shunt tile data, standard diagnostics.</t>
  </si>
  <si>
    <t>0B5-iztf28QNJeXEtMU9zZmpESGs</t>
  </si>
  <si>
    <t>https://docs.google.com/open?id=0B5-iztf28QNJeXEtMU9zZmpESGs</t>
  </si>
  <si>
    <t>Doc Created @ Fri Feb 20 2015 14:55:31 GMT-0500 (EST); Doc Merged @ Fri Feb 20 2015 14:55:32 GMT-0500 (EST); Email Sent @ Fri Feb 20 2015 14:55:36 GMT-0500 (EST)(cmyers@pppl.gov,nstx-u@pppl.gov)</t>
  </si>
  <si>
    <t>0B5-iztf28QNJd0Z3RTVaODBiQjA</t>
  </si>
  <si>
    <t>https://docs.google.com/open?id=0B5-iztf28QNJd0Z3RTVaODBiQjA</t>
  </si>
  <si>
    <t>Doc Created @ Wed Feb 25 2015 06:33:07 GMT-0500 (EST); Doc Merged @ Wed Feb 25 2015 06:33:08 GMT-0500 (EST)</t>
  </si>
  <si>
    <t>Clarifying Snowflake divertor configuration physics</t>
  </si>
  <si>
    <t>The snowflake diverter configuration is a leading heat flux mitigation candidate for NSTX-U. Note that the snowflake is likely to have the outermost strike point close to or on the high-Z tile location.
First, obtain a controlled snowflake configuration and demonstrate basic characterization (heat and particle fluxes, impurity radiation, etc). Then,
focus on clarifying the following outstanding physics issues: 
1) Transport in the snowflake divertor - obtain  heat flux profiles for SOL power width analysis at different I_p to enable direct comparison of snowflake vs standard divertor. Also use GPI,  BES and fast divertor cameras to document any fluctuation changes.
2) Radiative snowflake divertor limits - increase divertor radiation via D2 and impurity seeding and document  radiated power and impurity radiation distribution and dynamics, as well as heat flux 
3) Optimize pedestal placement w.r.t. MPTS and document pedestal profiles for pedestal structure analysis and linear MHD stability calculations. Once these are in progress, we can think of finer experiments, e.g. understand impact of lithium pumping, snowflake with cryopump validation, enhanced divertor ion loss, churning mode characterization, snowflake + 3D fields, etc</t>
  </si>
  <si>
    <t>Snowflake PCS control as described in ASC XP, divertor and pedestal profile diagnostics</t>
  </si>
  <si>
    <t>0B5-iztf28QNJSzBwR1hwNzhXbGM</t>
  </si>
  <si>
    <t>https://docs.google.com/open?id=0B5-iztf28QNJSzBwR1hwNzhXbGM</t>
  </si>
  <si>
    <t>Doc Created @ Fri Feb 20 2015 14:55:58 GMT-0500 (EST); Doc Merged @ Fri Feb 20 2015 14:55:59 GMT-0500 (EST); Email Sent @ Fri Feb 20 2015 14:56:19 GMT-0500 (EST)(vlad@pppl.gov,nstx-u@pppl.gov)</t>
  </si>
  <si>
    <t>0B5-iztf28QNJUnpDdjV0NFpWYjA</t>
  </si>
  <si>
    <t>https://docs.google.com/open?id=0B5-iztf28QNJUnpDdjV0NFpWYjA</t>
  </si>
  <si>
    <t>Doc Created @ Wed Feb 25 2015 06:33:16 GMT-0500 (EST); Doc Merged @ Wed Feb 25 2015 06:33:16 GMT-0500 (EST)</t>
  </si>
  <si>
    <t>Reversed shear confinement with off-axis neutral beams</t>
  </si>
  <si>
    <t>Howard</t>
  </si>
  <si>
    <t>Yuh</t>
  </si>
  <si>
    <t>hyuh@pppl.gov</t>
  </si>
  <si>
    <t>Fred Levinton</t>
  </si>
  <si>
    <t>JRT15-Measure transport changes with q-profile, R15-2 Assess NBI-CD profile, R15-3 Develop high-performance discharges</t>
  </si>
  <si>
    <t>Reversed magnetic shear plasmas have demonstrated electron and ion temperatures of 2.5 keV with only 3MW of input power (2MW NBI + 1MW RF).  Low thermal diffusivities resulted from avoiding typical anomalous transport mechanisms, including beam-induced GAE transport via low beam input power, beta induced microtearing modes via low density, and the suppression of high-k ETG modes using sufficiently negative magnetic shear.  However, the high confinement phase of these discharges could not be sustained using the core tangency beams on beamline 1 and typically lasted for 100-150ms before ending with a large anomalous current redistribution event.
We intend to utilize the off-axis beamline 2 to extend the reversed shear plasma operating regime in NSTX-U.  Goals will be to create reversed shear H-modes, sustain a deeply reversed shear discharge for multiple current relaxation times, and also to find a sustainable reversed magnetic shear scenario for long pulse.
We plan to explore timing on both beamlines, increased Bt, RF heating, and increased volt-seconds from new solenoid to accomplish these goals.
</t>
  </si>
  <si>
    <t>Both beamlines, RF highly desirable. Required diagnostics include MSE, MPTS, and CHERS.  Would benefit from completion of XPs exploring current drive characteristics of new beamline.
</t>
  </si>
  <si>
    <t>0B5-iztf28QNJOHo0Y01Hc1NpUG8</t>
  </si>
  <si>
    <t>https://docs.google.com/open?id=0B5-iztf28QNJOHo0Y01Hc1NpUG8</t>
  </si>
  <si>
    <t>Doc Created @ Fri Feb 20 2015 15:10:17 GMT-0500 (EST); Doc Merged @ Fri Feb 20 2015 15:10:17 GMT-0500 (EST); Email Sent @ Fri Feb 20 2015 15:10:23 GMT-0500 (EST)(hyuh@pppl.gov,nstx-u@pppl.gov)</t>
  </si>
  <si>
    <t>0B5-iztf28QNJZkxETm1USGVsMVE</t>
  </si>
  <si>
    <t>https://docs.google.com/open?id=0B5-iztf28QNJZkxETm1USGVsMVE</t>
  </si>
  <si>
    <t>Doc Created @ Wed Feb 25 2015 06:33:26 GMT-0500 (EST); Doc Merged @ Wed Feb 25 2015 06:33:26 GMT-0500 (EST)</t>
  </si>
  <si>
    <t>Relaxation of the interchange instability and effect on SOL width with Li wall conditioning</t>
  </si>
  <si>
    <t>S. Zweben, M Jaworski, J. Myra, D Smith, A Diallo</t>
  </si>
  <si>
    <t xml:space="preserve">Recent simulations with the SOLT code have shown that the reduction of the SOL width with the introduction of Li into NSTX may be explained by the relaxation of the density gradient in the pedestal which leads to a reduction in the drive interchange instability mechanism.  Using the full compliment of divertor and edge turbulence diagnostics, we will establish a low delta discharge with minimal Li evaporation (~10 mg, or whatever is achievable) with specific magnetic configuration so that midplane GPI field-of-view is connected to divertor probes at the outer target.  Once this target discharge is established, the Li deposition amount will be increased.  This should act to reduce the pedestal density gradient and eliminate ELMs as it has in the past while also acting to eliminate the interchange drive and reduce the SOL width.  Once a sufficiently large amount of Li evaporation has been used and the interchange drive suppressed, reduce between shot Li evaporation.  This will allow the pedestal to evolve back, eventually, to a pre-Li state and ELMs should return along with the interchange drive and a broadening of the SOL width. </t>
  </si>
  <si>
    <t>0B5-iztf28QNJU2xLWThqY2xnLTA</t>
  </si>
  <si>
    <t>https://docs.google.com/open?id=0B5-iztf28QNJU2xLWThqY2xnLTA</t>
  </si>
  <si>
    <t>Doc Created @ Fri Feb 20 2015 15:21:13 GMT-0500 (EST); Doc Merged @ Fri Feb 20 2015 15:21:13 GMT-0500 (EST); Email Sent @ Fri Feb 20 2015 15:21:19 GMT-0500 (EST)(tkgray@pppl.gov,nstx-u@pppl.gov)</t>
  </si>
  <si>
    <t>0B5-iztf28QNJb0xRWUdibHdWcjA</t>
  </si>
  <si>
    <t>https://docs.google.com/open?id=0B5-iztf28QNJb0xRWUdibHdWcjA</t>
  </si>
  <si>
    <t>Doc Created @ Wed Feb 25 2015 06:33:35 GMT-0500 (EST); Doc Merged @ Wed Feb 25 2015 06:33:35 GMT-0500 (EST)</t>
  </si>
  <si>
    <t>Effects of 3D fields on fast ion confinement and fast ion driven instabilities</t>
  </si>
  <si>
    <t>A. Bortolon, J. K. Park, G. Kramer, G. Z. Hao, W. W. Heidbrink, E. Fredrickson, M. Podestà et al.</t>
  </si>
  <si>
    <t>Observations from NSTX experiments [Bortolon et al., Phys. Rev. Letters, Vol. 110 (2013) 265008] demonstrate that externally applied 3D magnetic fields can alter the dynamics of bursting and chirping Alfven modes, and cause fast ion loss/redistribution indicated by neutron rate drop. SPIRAL calculations of the perturbed fast-ion distribution function show that the 3D perturbation can impact the orbits of fast ions that resonate with the bursting modes. The modification of fast ion distribution in real space and phase space can in turn affect fast-ion driven instabilities. The primary focus of this XP is to measure fast ion distribution and losses in the presence of 3D fields and investigate how the 3D fields affect the fast ion distribution and fast-ion driven instabilities. In this XP, we will apply n=1, 2, and 3 static perturbations in a controlled scenario (relatively low density, MHD/ELM free) which is suitable for fast ion measurements.</t>
  </si>
  <si>
    <t>Require relatively clean machine to avoid impurity contamination in FIDA spectra. Also require RWM coils to generate 3D perturbations. Need magnetics, plasma profile diagnostics (Thomson scattering, CHERS), MSE, midplane IR camera, BES, reflectometry and fast ion diagnostics (neutrons, vertical-FIDA, tangential FIDA, ssNPA and sFLIP).</t>
  </si>
  <si>
    <t>0B5-iztf28QNJVW51RFg3ejZlTFU</t>
  </si>
  <si>
    <t>https://docs.google.com/open?id=0B5-iztf28QNJVW51RFg3ejZlTFU</t>
  </si>
  <si>
    <t>Doc Created @ Fri Feb 20 2015 15:31:49 GMT-0500 (EST); Doc Merged @ Fri Feb 20 2015 15:31:50 GMT-0500 (EST); Email Sent @ Fri Feb 20 2015 15:31:55 GMT-0500 (EST)(deyongl@uci.edu,nstx-u@pppl.gov)</t>
  </si>
  <si>
    <t>0B5-iztf28QNJV3BmS1BtaU5aM1U</t>
  </si>
  <si>
    <t>https://docs.google.com/open?id=0B5-iztf28QNJV3BmS1BtaU5aM1U</t>
  </si>
  <si>
    <t>Doc Created @ Wed Feb 25 2015 06:33:44 GMT-0500 (EST); Doc Merged @ Wed Feb 25 2015 06:33:44 GMT-0500 (EST)</t>
  </si>
  <si>
    <t>Comparison of material migration with Li vs. B coatings</t>
  </si>
  <si>
    <t>Jake</t>
  </si>
  <si>
    <t>Nichols</t>
  </si>
  <si>
    <t>jnichols@pppl.gov</t>
  </si>
  <si>
    <t>M. Jaworski et al.</t>
  </si>
  <si>
    <t>NSTX-U R16-2</t>
  </si>
  <si>
    <t>The goal of this XP is to quantitatively evaluate material migration pathways and rates as a function of wall conditioning. This will also provide the first data for comparison to the global mixed material migration code WallDYN, currently under development for NSTX-U. WallDYN is a useful tool for understanding the evolution of elemental concentration in mixed material environments. In addition to providing operational insights into Li coating lifetimes, WallDYN will be key for interpreting high-Z PFC experiments in 2016.
	The general plan of this XP is to accumulate time in a specific plasma configuration following a fresh boronization/lithiumization, and observe changes in the elemental composition at MAPP and the C, O, and B/Li fluxes eroded from the divertor. The same procedure will be carried out on two separate days, once with B conditioning and once with Li conditioning. Since the target plasma will be nominally the same, changes in migration patterns and/or rates can be attributed to changes in the surface dynamics. Significant differences are expected due to the high relative sputtering rate of Li and its tendency to diffuse into graphite.
	This experiment is designed to make as clean a comparison to the WallDYN modeling as possible. The specifics of the target plasma are not terribly important, though it needs to be highly stable and reproducible without between-shot wall conditioning. It should be lower single null with outer strike point on row 2 to maximize flux to MAPP. Transients muddy both the modeling and the surface data and should be avoided as much as possible, including disruption-free discharge termination if possible. Final decision on target plasma will be made depending on machine performance and reliability.
	Useful WallDYN comparison can still be carried out with only the Li half-day.
</t>
  </si>
  <si>
    <t>Requires large boronization immediately before B half-day and large lithium evaporation immediately before Li half-day, and no between-shot conditioning. PFCs would ideally be heavily cleaned with GDC before conditioning. Requires MAPP XPS, Langmuir probes, TS, CHERS, EFIT, and significant divertor spectroscopy/camera capability. QMBs, IR thermography, and neutral pressure gauges desirable.</t>
  </si>
  <si>
    <t>0B5-iztf28QNJT3QwU1R0SXJWQmM</t>
  </si>
  <si>
    <t>https://docs.google.com/open?id=0B5-iztf28QNJT3QwU1R0SXJWQmM</t>
  </si>
  <si>
    <t>Doc Created @ Fri Feb 20 2015 15:46:58 GMT-0500 (EST); Doc Merged @ Fri Feb 20 2015 15:46:58 GMT-0500 (EST); Email Sent @ Fri Feb 20 2015 15:47:04 GMT-0500 (EST)(jnichols@pppl.gov,nstx-u@pppl.gov)</t>
  </si>
  <si>
    <t>0B5-iztf28QNJb2NoRTBkSVBmN3M</t>
  </si>
  <si>
    <t>https://docs.google.com/open?id=0B5-iztf28QNJb2NoRTBkSVBmN3M</t>
  </si>
  <si>
    <t>Doc Created @ Wed Feb 25 2015 06:33:53 GMT-0500 (EST); Doc Merged @ Wed Feb 25 2015 06:33:54 GMT-0500 (EST)</t>
  </si>
  <si>
    <t>Surface Science</t>
  </si>
  <si>
    <t>Bruce</t>
  </si>
  <si>
    <t>Koel</t>
  </si>
  <si>
    <t>bkoel@princeton.edu</t>
  </si>
  <si>
    <t>Charles Skinner, John Roszel</t>
  </si>
  <si>
    <t>5 yr plan Thrust MP-1: Understand lithium surface-science during extended PFC operation</t>
  </si>
  <si>
    <t>We will present a new PU / NSTX 4-year collaboration is to elucidate the surface chemistry that affects key issues in the use of coatings (B, Li, Sn) in future high power fusion devices (NSTX-U, FNSF) for the present graphite tiles and for future metal (Mo, TZM, W) plasma-facing components (PFCs).  This work will be performed at surface science labs at PPPL and PU, and includes include D uptake and retention experiments in mixed Li-C deposits; similar experiments in mixed Li/O/B/C deposits; QCM measurements to determine the temperature dependence of diffusion of oxygen into bulk lithium and various strategies for removing contamination from lithium surfaces; Li wetting experiments on TZM and 316 stainless steel and measurements related to strategies to enhance wetting by liquid Li and Sn of potential containers inside NSTX-U.
This presentation should precede  the more detailed presentations: Skinner Textured Mo XMP; Skinner effect of B conditioning.</t>
  </si>
  <si>
    <t>Low triangularity discharges preferred to maximise flux on MAPP</t>
  </si>
  <si>
    <t>0B5-iztf28QNJTEtTOEFPc3lsRzQ</t>
  </si>
  <si>
    <t>https://docs.google.com/open?id=0B5-iztf28QNJTEtTOEFPc3lsRzQ</t>
  </si>
  <si>
    <t>Doc Created @ Fri Feb 20 2015 16:13:11 GMT-0500 (EST); Doc Merged @ Fri Feb 20 2015 16:13:12 GMT-0500 (EST); Email Sent @ Fri Feb 20 2015 16:13:18 GMT-0500 (EST)(bkoel@princeton.edu,nstx-u@pppl.gov)</t>
  </si>
  <si>
    <t>0B5-iztf28QNJWmtGRmRONnR0cms</t>
  </si>
  <si>
    <t>https://docs.google.com/open?id=0B5-iztf28QNJWmtGRmRONnR0cms</t>
  </si>
  <si>
    <t>Doc Created @ Wed Feb 25 2015 06:34:03 GMT-0500 (EST); Doc Merged @ Wed Feb 25 2015 06:34:04 GMT-0500 (EST)</t>
  </si>
  <si>
    <t>Multi-machine studies of the L-H power threshold dependence on aspect ratio</t>
  </si>
  <si>
    <t>Michael</t>
  </si>
  <si>
    <t>Bongard</t>
  </si>
  <si>
    <t>mbongard@wisc.edu</t>
  </si>
  <si>
    <t>R.J. Fonck, G.R. McKee, J.A. Reusch, D.R. Smith, K.E. Thome</t>
  </si>
  <si>
    <t>R(15-1), R(15-3), NSTX-U 5-year High-Priority Research Goal 5: Access reduced collisionality and high-beta combined with varied q and rotation to dramatically extend ST understanding</t>
  </si>
  <si>
    <t>Observations show that aspect ratio plays a role in L-H transition physics, but multi-machine empirical scalings developed on conventional aspect ratio tokamaks fail to capture the aspect ratio (A) dependence.  Experimental P_LH values at low A exceed that given by the latest-available ITPA08 scaling [1], with the deviation increasing as A approaches unity.  ITPA reports call for further study of low-A P_LH discrepancies [1].  At conventional A, diverted configurations yield the lowest P_LH values. In contrast, diverted and limited P_LH values are similar in Pegasus at near-unity A.  A recent L-H transition model (FM3) proposes some of the observed P_LH dependencies on magnetic geometry, density, and other machine parameters [2]. It also highlights important roles for edge collisionality and q in the dynamics of edge turbulence and zonal flows that govern the L-H transition.  We propose to study the P_LH dependence on A with experiments at low A (NSTX-U), conventional A (DIII-D), and near-unity A (Pegasus), and anticipate this activity will expand into multiple experiments. This proposed experiment will document the L-H power threshold on NSTX-U in several scenarios relevant to testing the FM3 model, with specific scans in: 1) magnetic geometry:  limited, SN diverted with favorable/unfavorable grad-B, and DN diverted; 2) edge q; and 3) edge collisionality via edge fueling control. This  experiment is compatible with boronized machine conditions.  Strategies to manipulate the timing of the L-H transition include fueling locations and beam voltage scans. MHD suppression may require early, temporary beam heating. To facilitate comparisons to DIII-D and Pegasus, we will target configurations that closely match dimensionless parameters such as rho*, q, beta_N, and nu*. 2D BES measurements will observe edge turbulence dynamics across the L-H transition. 
[1] Y.R. Martin et al., J. Phys.: Conf. Ser. 123, 012033 (2008)
[2] W. Fundamenski et al., NF 52, 062003 (2012)
</t>
  </si>
  <si>
    <t>0B5-iztf28QNJYUQzMTB4c2xMdmM</t>
  </si>
  <si>
    <t>https://docs.google.com/open?id=0B5-iztf28QNJYUQzMTB4c2xMdmM</t>
  </si>
  <si>
    <t>Doc Created @ Fri Feb 20 2015 16:13:42 GMT-0500 (EST); Doc Merged @ Fri Feb 20 2015 16:13:43 GMT-0500 (EST); Email Sent @ Fri Feb 20 2015 16:13:48 GMT-0500 (EST)(mbongard@wisc.edu,nstx-u@pppl.gov)</t>
  </si>
  <si>
    <t>0B5-iztf28QNJWnR3MExDcXhaXzQ</t>
  </si>
  <si>
    <t>https://docs.google.com/open?id=0B5-iztf28QNJWnR3MExDcXhaXzQ</t>
  </si>
  <si>
    <t>Doc Created @ Wed Feb 25 2015 06:34:14 GMT-0500 (EST); Doc Merged @ Wed Feb 25 2015 06:34:15 GMT-0500 (EST)</t>
  </si>
  <si>
    <t>Fusion source profile measurement with the proton detector</t>
  </si>
  <si>
    <t>Werne</t>
  </si>
  <si>
    <t>Boeglin</t>
  </si>
  <si>
    <t>boeglinw@fiu.edu</t>
  </si>
  <si>
    <t>Douglass Darrow</t>
  </si>
  <si>
    <t>Florida International University</t>
  </si>
  <si>
    <t>R15-2 performance  of beams</t>
  </si>
  <si>
    <t>This  experiment will aid in commissioning the PD.  The objective is to get fusion rate profile data over a range of plasma currentstoroidal fields, NB power and orientation.  Preferably, these would be in quiescent plasmas, with as many other fast ion diagnostics as possible also taking data.  Analysis would include comparison of measurements with TRANSP predictions and comparisons between FI diagnostics.  Repeated shots desired for probe scans.  Measurement during MHD is a second objective.  PD planned to be ready in later half of campaign.</t>
  </si>
  <si>
    <t>Proton detector installed and operational.</t>
  </si>
  <si>
    <t>0B5-iztf28QNJemFuUFFqNGo4NGM</t>
  </si>
  <si>
    <t>https://docs.google.com/open?id=0B5-iztf28QNJemFuUFFqNGo4NGM</t>
  </si>
  <si>
    <t>Doc Created @ Fri Feb 20 2015 16:17:35 GMT-0500 (EST); Doc Merged @ Fri Feb 20 2015 16:17:36 GMT-0500 (EST); Email Sent @ Fri Feb 20 2015 16:17:42 GMT-0500 (EST)(boeglinw@fiu.edu,nstx-u@pppl.gov)</t>
  </si>
  <si>
    <t>0B5-iztf28QNJa25BSWo0QTdTejA</t>
  </si>
  <si>
    <t>https://docs.google.com/open?id=0B5-iztf28QNJa25BSWo0QTdTejA</t>
  </si>
  <si>
    <t>Doc Created @ Wed Feb 25 2015 06:34:24 GMT-0500 (EST); Doc Merged @ Wed Feb 25 2015 06:34:24 GMT-0500 (EST)</t>
  </si>
  <si>
    <t>Optimizing Boronization XMP</t>
  </si>
  <si>
    <t>Charles</t>
  </si>
  <si>
    <t>Skinner</t>
  </si>
  <si>
    <t>cskinner@pppl.gov</t>
  </si>
  <si>
    <t xml:space="preserve">Bruce Koel, John Roszell </t>
  </si>
  <si>
    <t>This XMP is aimed at optimising the new NSTX-U TMB system. Previously [NF 42 (2002) 329] boronization of ohmic plasmas decreased visible bremmstrahlung emission to 1/3, increased the energy confimenent time by 30% - 70% (lower loop voltage) and increased the duration of the Ip flattop by 50% - 70%. Access to H-mode plasmas was achieved after the  3rd boronization.
However there was only one gas inlet for TMB and the deposition as recorded by the quartz microbalances was highly non-uniform. 
Bay I midplane: 	9 Å/min
Bay H bottom: 	0.36 Å/min  (down x25)
Bay H top: 	0.19 Å/min (down x47)
This XMP aims to explore the effects of boronizing with 1g, then 2g, then 6g of TMB (total 1 bottle = 9g). Before and in-between boronizations ohmic plasma discharges would be run to assess changes in loop voltage, Prad,  spectroscopic impurities and Zeff. This XMP could be run for the 1st boronization. 
In a second or alternate scheme, we could boronize until H-mode is achieved, then run a few weeks of discharges until the plasma performance deteriorated. Then run the 1g, then 2g, then 6g TMB boronization. Before and in-between boronizations H-mode plasma discharges would be run to assess changes in H-mode threshold, loop voltage, Prad,  spectroscopic impurities, Zeff.  
If time was available, the scientific understanding of boronization could be enhanced with the MAPP probe. Samples would be exposed to TMB in the NSTX-U vessel and XPS analysis in-vacuo would assess the chemical state of the boron coating. However this would require controlled access to insert / withdraw and analyse the samples. 
If less than 9 g of TMB was sufficient this would save time and expense and decrease exposure to hazardous gases. 
</t>
  </si>
  <si>
    <t>H-mode required for 2nd scheme. 
Diagnostics needed include: loop voltage, Prad,  spectroscopic impurities and Zeff and MAPP. 
</t>
  </si>
  <si>
    <t>0B5-iztf28QNJUVdJTTRXSVFvQms</t>
  </si>
  <si>
    <t>https://docs.google.com/open?id=0B5-iztf28QNJUVdJTTRXSVFvQms</t>
  </si>
  <si>
    <t>Doc Created @ Fri Feb 20 2015 16:17:52 GMT-0500 (EST); Doc Merged @ Fri Feb 20 2015 16:17:52 GMT-0500 (EST); Email Sent @ Fri Feb 20 2015 16:17:59 GMT-0500 (EST)(cskinner@pppl.gov,nstx-u@pppl.gov)</t>
  </si>
  <si>
    <t>0B5-iztf28QNJRFRwRGRPYmFfbjA</t>
  </si>
  <si>
    <t>https://docs.google.com/open?id=0B5-iztf28QNJRFRwRGRPYmFfbjA</t>
  </si>
  <si>
    <t>Doc Created @ Wed Feb 25 2015 06:34:34 GMT-0500 (EST); Doc Merged @ Wed Feb 25 2015 06:34:34 GMT-0500 (EST)</t>
  </si>
  <si>
    <t>Relationship between lambda_q, S and Connection Length</t>
  </si>
  <si>
    <t>J Canik</t>
  </si>
  <si>
    <t>The NSTX-U data contained in the 2010 Joint Research Milestone contains a peculiarity that no other tokamak that contributed to the database did in that there was a demonstrated relationship between the upstream SOL width, lambda_q and the diffusive spreading parameter, S.  The reasons for this are unclear, however, the NSTX dataset also varied lower triangularity suggesting that connection length plays a role.   The lower triangularity and strike point position will be varied for set Ip and P_NBI.  This will then be repeated under Li wall conditions.  These discharges will be used as the basis for SOLPS modeling to elucidate the measurements since divertor flux expansion and connection length will be changing simultaneously.</t>
  </si>
  <si>
    <t>Plasma shape and strike point need to be established</t>
  </si>
  <si>
    <t>0B5-iztf28QNJblctUGJDamxzcEU</t>
  </si>
  <si>
    <t>https://docs.google.com/open?id=0B5-iztf28QNJblctUGJDamxzcEU</t>
  </si>
  <si>
    <t>Doc Created @ Fri Feb 20 2015 16:19:58 GMT-0500 (EST); Doc Merged @ Fri Feb 20 2015 16:19:59 GMT-0500 (EST); Email Sent @ Fri Feb 20 2015 16:20:03 GMT-0500 (EST)(tkgray@pppl.gov,nstx-u@pppl.gov)</t>
  </si>
  <si>
    <t>0B5-iztf28QNJcWhITVNwQk9Pc2M</t>
  </si>
  <si>
    <t>https://docs.google.com/open?id=0B5-iztf28QNJcWhITVNwQk9Pc2M</t>
  </si>
  <si>
    <t>Doc Created @ Wed Feb 25 2015 06:34:43 GMT-0500 (EST); Doc Merged @ Wed Feb 25 2015 06:34:43 GMT-0500 (EST)</t>
  </si>
  <si>
    <t>Boundary diagnostic-optimized configuration (BDOC) for model comparisons.</t>
  </si>
  <si>
    <t>Develop and use one discharge scenario for edge transport and plasma-surface interaction (cryopump, erosion, recycling, migration) model validation.
Run discharge periodically to accumulate database with boroniztion, various lithium amounts, etc.
Enable comparisons and complementarity of various transport and PSI models.
Two shapes: high-triangularity and low-triangularity (high Z tile).
Not too demanding on machine engineering parameters: e.g., 4 MW, 0.8-1.0 MA, medium density, calibrated LFS fueling.
All core profiles, all divertor diagnostics, MAPP XPS are critical.</t>
  </si>
  <si>
    <t>0B5-iztf28QNJS3JGQnU5RWVwTHc</t>
  </si>
  <si>
    <t>https://docs.google.com/open?id=0B5-iztf28QNJS3JGQnU5RWVwTHc</t>
  </si>
  <si>
    <t>Doc Created @ Fri Feb 20 2015 16:20:09 GMT-0500 (EST); Doc Merged @ Fri Feb 20 2015 16:20:10 GMT-0500 (EST); Email Sent @ Fri Feb 20 2015 16:20:15 GMT-0500 (EST)(vlad@pppl.gov,nstx-u@pppl.gov)</t>
  </si>
  <si>
    <t>0B5-iztf28QNJa19md1l2R2E4MUU</t>
  </si>
  <si>
    <t>https://docs.google.com/open?id=0B5-iztf28QNJa19md1l2R2E4MUU</t>
  </si>
  <si>
    <t>Doc Created @ Wed Feb 25 2015 06:34:52 GMT-0500 (EST); Doc Merged @ Wed Feb 25 2015 06:34:52 GMT-0500 (EST)</t>
  </si>
  <si>
    <t>Textured Mo surface XMP</t>
  </si>
  <si>
    <t>Bruce Koel, John Roszell</t>
  </si>
  <si>
    <t>5-year plan Thrust MP-1: Understand lithium surface-science during extended PFC operation</t>
  </si>
  <si>
    <t>This XMP is aimed at optimising the surface texture of the planned Mo tiles. Previously NSTX installed the liquid lithium divertor that had a surface of porous Mo to utilize surface tension in retaining lithium in the presence of JxB forces. 
This XMP utilizes the MAPP probe to experimentally assess the surface texturing necessary to retain Li on the Mo tiles planned for NSTX-U.
Four Mo discs will be machined that will to fit as two pairs in MAPP. The maximum disc mass will be less than 5 g to allow gravimetry with microbalance. The discs will be used in pairs with lower disc as control to assess systematic errors in mass change. The plasma facing surface in one case will be knurled or grooved to retain Li. 
The four discs will be mounted on MAPP and exposed to Li evaporation for 1 run day. We anticipate 100 µg of Li deposition, which will increase to400 µg if oxidized to lithium carbonate. The microbalance has a resolution of 1 µg so the Li mass should be easily measurable. 
We will compare mass gain of grooved and plain Mo surface in order to assess the Li mass loss. We will also assess Li / Mo surface coverage with XPS and high spatial resolution spectroscopic diagnostics. 
</t>
  </si>
  <si>
    <t xml:space="preserve">This can be run in piggy back mode, however it is desired to run low triangularity plasma with significant heat flux onto MAPP to raise temperature above Li melting temp (180°C). </t>
  </si>
  <si>
    <t>0B5-iztf28QNJSzVQX0trdk9IeUk</t>
  </si>
  <si>
    <t>https://docs.google.com/open?id=0B5-iztf28QNJSzVQX0trdk9IeUk</t>
  </si>
  <si>
    <t>Doc Created @ Fri Feb 20 2015 16:20:31 GMT-0500 (EST); Doc Merged @ Fri Feb 20 2015 16:20:32 GMT-0500 (EST); Email Sent @ Fri Feb 20 2015 16:20:36 GMT-0500 (EST)(cskinner@pppl.gov,nstx-u@pppl.gov)</t>
  </si>
  <si>
    <t>0B5-iztf28QNJSmlDRWUya2pvU3M</t>
  </si>
  <si>
    <t>https://docs.google.com/open?id=0B5-iztf28QNJSmlDRWUya2pvU3M</t>
  </si>
  <si>
    <t>Doc Created @ Wed Feb 25 2015 06:35:01 GMT-0500 (EST); Doc Merged @ Wed Feb 25 2015 06:35:02 GMT-0500 (EST)</t>
  </si>
  <si>
    <t>TBD, many</t>
  </si>
  <si>
    <t>0B5-iztf28QNJRTY5ZGNnR3lDYUE</t>
  </si>
  <si>
    <t>https://docs.google.com/open?id=0B5-iztf28QNJRTY5ZGNnR3lDYUE</t>
  </si>
  <si>
    <t>Doc Created @ Fri Feb 20 2015 16:21:50 GMT-0500 (EST); Doc Merged @ Fri Feb 20 2015 16:21:50 GMT-0500 (EST); Email Sent @ Fri Feb 20 2015 16:21:54 GMT-0500 (EST)(vlad@pppl.gov,nstx-u@pppl.gov)</t>
  </si>
  <si>
    <t>0B5-iztf28QNJMmI3RG5KT2JyNU0</t>
  </si>
  <si>
    <t>https://docs.google.com/open?id=0B5-iztf28QNJMmI3RG5KT2JyNU0</t>
  </si>
  <si>
    <t>Doc Created @ Wed Feb 25 2015 06:35:19 GMT-0500 (EST); Doc Merged @ Wed Feb 25 2015 06:35:19 GMT-0500 (EST)</t>
  </si>
  <si>
    <t>R(16-1), R(16-2)</t>
  </si>
  <si>
    <t>0B5-iztf28QNJY3BjN3M1REx1dEk</t>
  </si>
  <si>
    <t>https://docs.google.com/open?id=0B5-iztf28QNJY3BjN3M1REx1dEk</t>
  </si>
  <si>
    <t>Doc Created @ Fri Feb 20 2015 16:23:41 GMT-0500 (EST); Doc Merged @ Fri Feb 20 2015 16:23:42 GMT-0500 (EST); Email Sent @ Fri Feb 20 2015 16:23:49 GMT-0500 (EST)(vlad@pppl.gov,nstx-u@pppl.gov)</t>
  </si>
  <si>
    <t>0B5-iztf28QNJTDF0dWctN1FYWjg</t>
  </si>
  <si>
    <t>https://docs.google.com/open?id=0B5-iztf28QNJTDF0dWctN1FYWjg</t>
  </si>
  <si>
    <t>Doc Created @ Wed Feb 25 2015 06:35:29 GMT-0500 (EST); Doc Merged @ Wed Feb 25 2015 06:35:29 GMT-0500 (EST)</t>
  </si>
  <si>
    <t>Initial NSTX-U edge characterization.</t>
  </si>
  <si>
    <t>Goals: provide input to R15-1 and R15-3 and initial development for R16-1 and R16-2;
Enable divertor and SOL characterization under boronized conditions (to cf. with lithium);
enable dedicated XP development after 2 months.
Boundary conditions
PNBI = 1-6 MW and 6-12 MW ; Ip = 0.7-1 MA and 1-1.4 MA; ne = (0.5 – 0.8) x nG
Boronized vs Lithium
D2 and impurity seeding for radiative divertor
3D fields
Shaping (high triangularity vs low triangularity) and magnetic balance (LSN vs DN)
Deliverables:
Divertor peak heat flux scaling and initial assessment of power balance, in-out assym.
Initial assessment of SOL power width scaling (Ip, S, LII, …)
Initial assessment of SOL and divertor turbulence
ELM type identification and ELM regimes, ELM heat fluxes and profiles
Characterize operating space of partially detached outer strike point
Initial assessment of impact of 3D fields on divertor asymmetries, SP splitting, etc
Assessment of divertor conditions and plasma-surface interactions for R16-2
</t>
  </si>
  <si>
    <t>0B5-iztf28QNJRnVwSHRSMVhteGc</t>
  </si>
  <si>
    <t>https://docs.google.com/open?id=0B5-iztf28QNJRnVwSHRSMVhteGc</t>
  </si>
  <si>
    <t>Doc Created @ Fri Feb 20 2015 16:28:09 GMT-0500 (EST); Doc Merged @ Fri Feb 20 2015 16:28:10 GMT-0500 (EST); Email Sent @ Fri Feb 20 2015 16:28:14 GMT-0500 (EST)(vlad@pppl.gov,nstx-u@pppl.gov)</t>
  </si>
  <si>
    <t>0B5-iztf28QNJUURfOV96TkRzem8</t>
  </si>
  <si>
    <t>https://docs.google.com/open?id=0B5-iztf28QNJUURfOV96TkRzem8</t>
  </si>
  <si>
    <t>Doc Created @ Wed Feb 25 2015 06:35:40 GMT-0500 (EST); Doc Merged @ Wed Feb 25 2015 06:35:40 GMT-0500 (EST)</t>
  </si>
  <si>
    <t>Characterization of intrinsic impurity transport in NBI-heated H-mode discharges</t>
  </si>
  <si>
    <t>Filippo</t>
  </si>
  <si>
    <t>Scotti</t>
  </si>
  <si>
    <t>fscotti@pppl.gov</t>
  </si>
  <si>
    <t>R. Bell, M. Podesta, V. Soukhanovskii, S. Kaye, W. Guttenfelder</t>
  </si>
  <si>
    <t xml:space="preserve">In NSTX, a deviation from neoclassical particle transport (NCLASS, NEO) was observed for carbon in discharges with lithium conditioning while better agreement was generally observed in boronized discharges. Agreement with neoclassical predictions was recovered in discharges with lithium conditioning but stronger T_i and v_tor gradients resulting from triggered ELMs. The goal of this XP is to study intrinsic carbon impurity transport and its consistency with neoclassical expectations in boronized and lithiated discharges as a part of the multi-TSG confinement scaling XP. This will touch base with NSTX parameters and extend to higher engineering parameters (Ip, Bt, second NBI) and lower collisionality regimes. The transition to higher toroidal fields and lower collisionalities will probe whether the transport is still consistent with neoclassical expectations and the coupling between ion particle, thermal and momentum transport. Neoclassical estimates will be provided by NCLASS, NEO and GTC-NEO codes while impurity transport analysis will be performed with the MIST/STRAHL codes. </t>
  </si>
  <si>
    <t xml:space="preserve">Profile diagnostics
Would need both boronized and lithiated PFC conditions </t>
  </si>
  <si>
    <t>0B5-iztf28QNJUTdESnVoOXpNTGM</t>
  </si>
  <si>
    <t>https://docs.google.com/open?id=0B5-iztf28QNJUTdESnVoOXpNTGM</t>
  </si>
  <si>
    <t>Doc Created @ Fri Feb 20 2015 16:35:07 GMT-0500 (EST); Doc Merged @ Fri Feb 20 2015 16:35:07 GMT-0500 (EST); Email Sent @ Fri Feb 20 2015 16:35:13 GMT-0500 (EST)(fscotti@pppl.gov,nstx-u@pppl.gov)</t>
  </si>
  <si>
    <t>0B5-iztf28QNJWFBESU4wX190eG8</t>
  </si>
  <si>
    <t>https://docs.google.com/open?id=0B5-iztf28QNJWFBESU4wX190eG8</t>
  </si>
  <si>
    <t>Doc Created @ Wed Feb 25 2015 06:35:49 GMT-0500 (EST); Doc Merged @ Wed Feb 25 2015 06:35:50 GMT-0500 (EST)</t>
  </si>
  <si>
    <t>Investigate effects of q profile on transport and turbulence in NSTX-U H-mode plasmas</t>
  </si>
  <si>
    <t>Yang</t>
  </si>
  <si>
    <t>Y. Ren, W. Guttenfelder, S.M. Kaye, A. Diallo, S. Kubota, J. Lang, B.P. LeBlanc, R.E. Bell, D.R. Smith, W. Wang, H. Yuh</t>
  </si>
  <si>
    <t>JRT-15, R(15-1)</t>
  </si>
  <si>
    <t>It is well-known that q profile affects tokamak plasma stability and confinement, e.g. forming ITB due to reversed magnetic shear and improving confinement in hybrid scenario characterized by a broad region of low magnetic shear. In particular, theoretical analyses have shown that s/q (s is the magnetic shear) plays an important role in improving confinement in hybrid scenario in JET due to the ITG linear threshold dependence on s/q. We note that similar dependence on s/q is also found in the ETG linear threshold. Thus q profile could similarly affect ETG turbulence which is thought to be more important in ST H-mode plasmas. In addition, q profile can also affect the stability of microtearing mode. However, a systematic study of the effect of q profile on NSTX transport and turbulence has not been carried out. NSTX-U with its improved capabilities will give us the opportunity to modify q profile in a more controlled way by utilizing the 2nd NBI. Thus we would like to investigate effects of q profile on transport and turbulence in NSTX-U H-mode plasmas. Different BT and Ip combinations will be used to change q profile with constant NBI power. Furthermore, with fixe BT and Ip, different combination of NBI sources will be used to modify q profile with constant q95 and possibly constant qmin with total NBI power kept constant. By using NBI alone, rotation profile is likely coupled with q profile, and 3D field may be used to control rotation to reduce the coupling. We note that this XP can share shots with other XPs requiring BT and Ip scan and NBI source scan. The results will be compared with linear and nonlinear gyrokinetic simulations and will form a database for developing/validating reduced transport models.</t>
  </si>
  <si>
    <t>Achieve decent MHD-quiescent H-mode plasmas
MPTS, CHERS, MSE, BES, reflectometer and other diagnostics required for conducting TRANSP analysis and LRDFIT.
</t>
  </si>
  <si>
    <t>0B5-iztf28QNJX0xVTUM3bTFfeUU</t>
  </si>
  <si>
    <t>https://docs.google.com/open?id=0B5-iztf28QNJX0xVTUM3bTFfeUU</t>
  </si>
  <si>
    <t>Doc Created @ Fri Feb 20 2015 16:38:58 GMT-0500 (EST); Doc Merged @ Fri Feb 20 2015 16:38:59 GMT-0500 (EST); Email Sent @ Fri Feb 20 2015 16:39:05 GMT-0500 (EST)(yren@pppl.gov,nstx-u@pppl.gov)</t>
  </si>
  <si>
    <t>0B5-iztf28QNJN2hmU2oycVZWVWM</t>
  </si>
  <si>
    <t>https://docs.google.com/open?id=0B5-iztf28QNJN2hmU2oycVZWVWM</t>
  </si>
  <si>
    <t>Doc Created @ Wed Feb 25 2015 06:35:59 GMT-0500 (EST); Doc Merged @ Wed Feb 25 2015 06:35:59 GMT-0500 (EST)</t>
  </si>
  <si>
    <t>Optimization of helium-dispersed lithium evaporation to understand role of PFCs without direct lithium evaporation</t>
  </si>
  <si>
    <t>C. Skinner, D. Stotler, V. Soukhanovskii</t>
  </si>
  <si>
    <t>Five year plan thrust MP-1</t>
  </si>
  <si>
    <t xml:space="preserve">In NSTX, a continuous improvement in plasma performance was observed with the increase in pre-applied lithium evaporation. It was speculated that this could be related to the increasing role of plasma facing components (PFCs) which do not see direct lithium evaporation, namely upper divertor and upper outer wall. The goal of this XP is to optimize the conditioning of the upper PFCs via diffusive lithium evaporation aided by Monte Carlo simulations, progressively increasing the coatings in the upper divertor while maintaining typical lithium areal densities for the lower PFCs. The effect on plasma performance and impurity sources will be analyzed in high triangularity lower divertor biased and double null discharges. New spectroscopic views of the upper divertor will help in the characterization of the coatings distribution, deuterium recycling and of lithium and carbon impurity sources from the upper PFCs. </t>
  </si>
  <si>
    <t xml:space="preserve">Should run soon after the first introduction of lithium to avoid excessive lithium build-up in the vessel and significant migration to areas without direct LITER evaporation. </t>
  </si>
  <si>
    <t>0B5-iztf28QNJaktoN212TURoS0U</t>
  </si>
  <si>
    <t>https://docs.google.com/open?id=0B5-iztf28QNJaktoN212TURoS0U</t>
  </si>
  <si>
    <t>Doc Created @ Fri Feb 20 2015 16:42:29 GMT-0500 (EST); Doc Merged @ Fri Feb 20 2015 16:42:30 GMT-0500 (EST); Email Sent @ Fri Feb 20 2015 16:42:37 GMT-0500 (EST)(fscotti@pppl.gov,nstx-u@pppl.gov)</t>
  </si>
  <si>
    <t>0B5-iztf28QNJNHpsSnozUU5NczQ</t>
  </si>
  <si>
    <t>https://docs.google.com/open?id=0B5-iztf28QNJNHpsSnozUU5NczQ</t>
  </si>
  <si>
    <t>Doc Created @ Wed Feb 25 2015 06:36:08 GMT-0500 (EST); Doc Merged @ Wed Feb 25 2015 06:36:08 GMT-0500 (EST)</t>
  </si>
  <si>
    <t>Establish heat transmission pathways in high-Z reference shape</t>
  </si>
  <si>
    <t>Travis Gray</t>
  </si>
  <si>
    <t>R16-2</t>
  </si>
  <si>
    <t>The NSTX-U is planning on substantial upgrade to high-Z plasma-facing components in coming years of operation.  An assessment of the impact on operations is the center of milestone R16-2 which this XP supports.  A useful appraisal of the PFC design as a candidate for use in operations-critical regions  requires the generation of significant heat fluxes on the row 2 tiles, similar to the expected operating scenarios in future years of the NSTX-U.
Heat flux to PFCs can be decomposed into several components: plasma-based, neutral and radiation.  Only one of these is affected by magnetic fields and will be amenable to mitigation by tile-tilting and target shaping (plasma-based).  As operations push toward higher levels of radiation and neutral puffing, isotropic heat-flux sources will become more important where the areal reduction associated with tile tilting may become a liability.  Thus, strongly detached, radiated regimes and vapor-shielded regimes may benefit from a flat tile profile.  This XP will study the transition from a primarily plasma-based heat flux to one with significant fractions of neutral and possibly radiative heating.
The experiment will utilize the high-Z reference discharge shape to place the outer strike point on the row-2 graphite tiles.  Discharge power and density will be varied to probe a range of divertor densities alongside with the use of divertor gas puffing to also push toward higher densities.  Heat fluxes will be pushed to the maximum capabilities of the plasma shape so as to ascertain the possible range of heating for experiments in FY16.  Local plasma conditions will be primarily monitored with the use of the Langmuir probe system.  Interpretative OEDGE modeling will provide reconstruction of resultant neutral densities.  Heat flux will be calculated by IR thermography.  Divertor scenarios will be altered by the non-zero pumping associated with lithium so both boron and lithium experimental time is requested.</t>
  </si>
  <si>
    <t>The high-Z reference discharge shape should be already developed with reasonable accuracy and stability of the outer strike-point.  This XP will establish maximal heat fluxes available for future experiments.
Langmuir probes, fast-cameras, VIPS/other spectrometers will be necessary for OEDGE reconstruction.  IR thermography necessary for sheath heat transmission calculation.
Boron and lithium ops both requested.  In principle, however, experiments can be conducted in lithium conditions only.</t>
  </si>
  <si>
    <t>0B5-iztf28QNJSmhMUDNuNTk5eUE</t>
  </si>
  <si>
    <t>https://docs.google.com/open?id=0B5-iztf28QNJSmhMUDNuNTk5eUE</t>
  </si>
  <si>
    <t>Doc Created @ Fri Feb 20 2015 16:45:32 GMT-0500 (EST); Doc Merged @ Fri Feb 20 2015 16:45:32 GMT-0500 (EST); Email Sent @ Fri Feb 20 2015 16:45:38 GMT-0500 (EST)(mjaworsk@pppl.gov,nstx-u@pppl.gov)</t>
  </si>
  <si>
    <t>0B5-iztf28QNJdW0zZUVlSFJsT28</t>
  </si>
  <si>
    <t>https://docs.google.com/open?id=0B5-iztf28QNJdW0zZUVlSFJsT28</t>
  </si>
  <si>
    <t>Doc Created @ Wed Feb 25 2015 06:36:18 GMT-0500 (EST); Doc Merged @ Wed Feb 25 2015 06:36:18 GMT-0500 (EST)</t>
  </si>
  <si>
    <t>Characterization of carbon and lithium sources following first introduction of lithium in NSTX-U</t>
  </si>
  <si>
    <t>V. Soukhanovskii</t>
  </si>
  <si>
    <t>Five year plan thrust MP-1, MP-2</t>
  </si>
  <si>
    <t xml:space="preserve">With the application of lithium coatings on ATJ graphite in NSTX, changes in carbon, oxygen, lithium sputtering were observed. Detailed measurements of the behavior of carbon and lithium sputtering during the transition from boronized to lithiated graphite was complicated by the changes in local plasma parameters. This XP will address the evolution of B, C, Li, O sputtering yield and gross sources during the first introduction of lithium in NSTX-U and their evolution during the experimental campaign with an improved set of diagnostics. Redundant measurements for each atomic species will minimize uncertainties due to the unknown plasma parameters. The full poloidal coverage of impurity emission will support the understanding of the poloidal distribution of impurity sources evolution and full toroidal coverage of the lower divertor will support the evaluation of toroidal asymmetries in impurity sources resulting from asymmetries in deposition and leading tiles effects. </t>
  </si>
  <si>
    <t>To be performed during multi-TSG "First lithium introduction XP"</t>
  </si>
  <si>
    <t>0B5-iztf28QNJN0pJR05BNGxITmM</t>
  </si>
  <si>
    <t>https://docs.google.com/open?id=0B5-iztf28QNJN0pJR05BNGxITmM</t>
  </si>
  <si>
    <t>Doc Created @ Fri Feb 20 2015 16:48:05 GMT-0500 (EST); Doc Merged @ Fri Feb 20 2015 16:48:05 GMT-0500 (EST); Email Sent @ Fri Feb 20 2015 16:48:09 GMT-0500 (EST)(fscotti@pppl.gov,nstx-u@pppl.gov)</t>
  </si>
  <si>
    <t>0B5-iztf28QNJaTZSN21UcWRmV00</t>
  </si>
  <si>
    <t>https://docs.google.com/open?id=0B5-iztf28QNJaTZSN21UcWRmV00</t>
  </si>
  <si>
    <t>Doc Created @ Wed Feb 25 2015 06:36:27 GMT-0500 (EST); Doc Merged @ Wed Feb 25 2015 06:36:28 GMT-0500 (EST)</t>
  </si>
  <si>
    <t>Understanding the longevity of lithium coatings in NSTX-U</t>
  </si>
  <si>
    <t xml:space="preserve">NSTX had a well-developed empirical recipe for lithium conditioning (amount and frequency of evaporation). In order to optimize lithium deposition to maintain high performance with the higher ion fluence expected in NSTX-U, the longevity of lithium coatings needs to be understood. The goals of this XP are to understand empirically-observed lithium coatings lifetime and develop a metric for lithium effectiveness based on PMI measurements to correlate with global parameters (e.g., confinement factors). Local deuterium recycling, lithium, carbon, oxygen sputtering yields, surface elemental composition from MAPP, deuterium pump-out from SGI pulses, wall loading rate, main ion and impurity particle balances will be analyzed while the effects of lithium areal density/incident particle fluence, intercalation, reaction with background gases and real-time lithium conditioning via LGI are tested. Modeling with UEDGE, ERO will be performed to compare surface composition inferred from spectroscopy versus MAPP measurements. </t>
  </si>
  <si>
    <t>Should be run soon after the first introduction of lithium to avoid excessive lithium build-up in the vessel</t>
  </si>
  <si>
    <t>0B5-iztf28QNJRU9DZEsxOWJqc0E</t>
  </si>
  <si>
    <t>https://docs.google.com/open?id=0B5-iztf28QNJRU9DZEsxOWJqc0E</t>
  </si>
  <si>
    <t>Doc Created @ Fri Feb 20 2015 16:51:54 GMT-0500 (EST); Doc Merged @ Fri Feb 20 2015 16:51:54 GMT-0500 (EST); Email Sent @ Fri Feb 20 2015 16:51:59 GMT-0500 (EST)(fscotti@pppl.gov,nstx-u@pppl.gov)</t>
  </si>
  <si>
    <t>0B5-iztf28QNJZFZST2tvSnB3ckE</t>
  </si>
  <si>
    <t>https://docs.google.com/open?id=0B5-iztf28QNJZFZST2tvSnB3ckE</t>
  </si>
  <si>
    <t>Doc Created @ Wed Feb 25 2015 06:36:36 GMT-0500 (EST); Doc Merged @ Wed Feb 25 2015 06:36:37 GMT-0500 (EST)</t>
  </si>
  <si>
    <t>Effect of Lithium on SOL Power Balance</t>
  </si>
  <si>
    <t xml:space="preserve">Travis </t>
  </si>
  <si>
    <t>L Delgado-Aparicio, J-W Ahn, K Gan</t>
  </si>
  <si>
    <t xml:space="preserve">Experiments in 2010 on NSTX showed a measurable drop in the power accountability at the outer strike point when large amounts of pre-discharge Li evaporation were used (~300 mg).  To better understand the underlying physics, we propose a multi-step experiment at constant Ip (1-1.2 MA):
1.  Under boronized conditions, scan centerstack fueling for various NBI powers to create a baseline for comparison with the Li data in both high delta and low delta discharge shapes.  This will provide a baseline for comparison between boronized and Li discharges with similar fueling and heating at a given Ip.
2.  Repeat NBI scan for several pre-discharge Li evaporation amounts (10-50 mg, 150, 200, …) in high delta and low delta shapes
Full compliment of divertor diagnostics will be required (visible and VUV spectroscopy, filtered cameras, IR thermography, probes, etc) in addition to MPTS, CHERS, core radiation. </t>
  </si>
  <si>
    <t>0B5-iztf28QNJVmFhRFlEV3hMdVU</t>
  </si>
  <si>
    <t>https://docs.google.com/open?id=0B5-iztf28QNJVmFhRFlEV3hMdVU</t>
  </si>
  <si>
    <t>Doc Created @ Fri Feb 20 2015 16:53:23 GMT-0500 (EST); Doc Merged @ Fri Feb 20 2015 16:53:24 GMT-0500 (EST); Email Sent @ Fri Feb 20 2015 16:53:29 GMT-0500 (EST)(tkgray@pppl.gov,nstx-u@pppl.gov)</t>
  </si>
  <si>
    <t>0B5-iztf28QNJMUNRZDFQWU1Fc2M</t>
  </si>
  <si>
    <t>https://docs.google.com/open?id=0B5-iztf28QNJMUNRZDFQWU1Fc2M</t>
  </si>
  <si>
    <t>Doc Created @ Wed Feb 25 2015 06:36:46 GMT-0500 (EST); Doc Merged @ Wed Feb 25 2015 06:36:46 GMT-0500 (EST)</t>
  </si>
  <si>
    <t>AE damping rates in 3D perturbed equilibria</t>
  </si>
  <si>
    <t>Alessandro</t>
  </si>
  <si>
    <t>Bortolon</t>
  </si>
  <si>
    <t>abortolon@pppl.gov</t>
  </si>
  <si>
    <t>E.Fredrikson, G.Kramer, M.Podesta', D.Spong</t>
  </si>
  <si>
    <t>Control of AE, and the associated fast-ion transport and losses is a key aspect of advanced scenario development of fusion devices. Evidence from NSTX has emerged, that suggest a potential of usage of static 3D fields (n=3) for mitigating AE activity.
The STELLGAP/VMEC codes have been used to compute the Alfven continuum for an experimental NSTX case, with n=3 static fields. Results indicate that the toroidal coupling due to the broken axisymmetry can modify the structure of the Alfven continuum, to the point that frequency gaps where AE develop are strongly reduced. This suggests that 3D fields could be actively used to mitigate or suppress AE, through enhancement of continuum damping.
We propose to explore the physic basis of this mitigation mechanism, utilizing the new TAE antenna, in a simple, controlled scenario. The experiments are proposed in Ohmic, L-mode, in order to 1) minimize the TAE drive and help to pin-down damping effects, 2) allow measurement of the density fluctuations by reflectometer; 2) permit accurate modeling, minimizing rotation (not included models) and edge steep gradients (numerically challenging).
The XP can be devised in two parts. 
Part 1, physics basis: measurement of TAE damping rates of buy mapping the antenna transfer function, with and without 3D perturbations. 
Part 2: demonstration, optional, and to be considered if part 1 successful: use the antenna to drive TAE in a controlled fashion, and apply 3D perturbations to modulate the mode amplitude. Some beam power drive can be used in part 2, to optimize the discharge and include some fast-ion drive.
</t>
  </si>
  <si>
    <t>- This proposal depends completely on the successful operation of the TAE antenna. 
- Standard background plasma diagnostics are required to allow modeling.
- Reflectometer, to determine mode structure
</t>
  </si>
  <si>
    <t>0B5-iztf28QNJcVE5OXJEaEQ5Mk0</t>
  </si>
  <si>
    <t>https://docs.google.com/open?id=0B5-iztf28QNJcVE5OXJEaEQ5Mk0</t>
  </si>
  <si>
    <t>Doc Created @ Fri Feb 20 2015 17:14:21 GMT-0500 (EST); Doc Merged @ Fri Feb 20 2015 17:14:22 GMT-0500 (EST); Email Sent @ Fri Feb 20 2015 17:14:28 GMT-0500 (EST)(abortolon@pppl.gov,nstx-u@pppl.gov)</t>
  </si>
  <si>
    <t>0B5-iztf28QNJWktQMzVZS0x2RDg</t>
  </si>
  <si>
    <t>https://docs.google.com/open?id=0B5-iztf28QNJWktQMzVZS0x2RDg</t>
  </si>
  <si>
    <t>Doc Created @ Wed Feb 25 2015 06:36:55 GMT-0500 (EST); Doc Merged @ Wed Feb 25 2015 06:36:55 GMT-0500 (EST)</t>
  </si>
  <si>
    <t>Measure effect of extrinsic asymmetry (poloidal location of injector) on VDE mitigation</t>
  </si>
  <si>
    <t>Valerie</t>
  </si>
  <si>
    <t>Izzo</t>
  </si>
  <si>
    <t>izzo@fusion.gat.com</t>
  </si>
  <si>
    <t>University of California - San Diego</t>
  </si>
  <si>
    <t>USBPO Disruptions Task Group National Campaign Experiment</t>
  </si>
  <si>
    <t>Motivation: ITER would like to know if there is substantial disadvantage to VDE mitigation if only upper injectors are available for upward and downward VDEs. DIII-D experiments were done in 2013 and 2014.
Experiment: Induce upward &amp; downward VDEs. Mitigate with MGI at various dt relative to unmitigated thermal quench. Measure resulting heat fluxes, forces, halo currents, etc.
</t>
  </si>
  <si>
    <t>0B5-iztf28QNJTnVTVVVMVjFyb28</t>
  </si>
  <si>
    <t>https://docs.google.com/open?id=0B5-iztf28QNJTnVTVVVMVjFyb28</t>
  </si>
  <si>
    <t>Doc Created @ Fri Feb 20 2015 17:16:41 GMT-0500 (EST); Doc Merged @ Fri Feb 20 2015 17:16:42 GMT-0500 (EST); Email Sent @ Fri Feb 20 2015 17:16:48 GMT-0500 (EST)(izzo@fusion.gat.com,nstx-u@pppl.gov)</t>
  </si>
  <si>
    <t>0B5-iztf28QNJNnctWGRzeVpXYlE</t>
  </si>
  <si>
    <t>https://docs.google.com/open?id=0B5-iztf28QNJNnctWGRzeVpXYlE</t>
  </si>
  <si>
    <t>Doc Created @ Wed Feb 25 2015 06:37:05 GMT-0500 (EST); Doc Merged @ Wed Feb 25 2015 06:37:05 GMT-0500 (EST)</t>
  </si>
  <si>
    <t>Transport and radiation in the high flux expansion divertor configuration with cusp-like fields.</t>
  </si>
  <si>
    <t>TBD, Many</t>
  </si>
  <si>
    <t>R(16-2)</t>
  </si>
  <si>
    <t>Goal: obtain the high flux expansion divertor configuration with cusp-like fields and measure the effect of the expanded divertor channel on SOL power width (heat transport) and radiation distribution (compare to standard divertor). While the exact cusp-like field is not possible to create in NSTX-U (need many more coils in the divertor), the poloidal flux structure of the configuration that was proposed by H. Takase (JPSJ 70, 2001, 609) is possible, according to ISOLVER modeling. Once the configuration is established, scans of interest would be P_NBI, I_P and density.</t>
  </si>
  <si>
    <t>0B5-iztf28QNJaTVGWkx2enhPRFk</t>
  </si>
  <si>
    <t>https://docs.google.com/open?id=0B5-iztf28QNJaTVGWkx2enhPRFk</t>
  </si>
  <si>
    <t>Doc Created @ Fri Feb 20 2015 17:17:31 GMT-0500 (EST); Doc Merged @ Fri Feb 20 2015 17:17:31 GMT-0500 (EST); Email Sent @ Fri Feb 20 2015 17:17:36 GMT-0500 (EST)(vlad@pppl.gov,nstx-u@pppl.gov)</t>
  </si>
  <si>
    <t>0B5-iztf28QNJczdqQklKN0Q1UGs</t>
  </si>
  <si>
    <t>https://docs.google.com/open?id=0B5-iztf28QNJczdqQklKN0Q1UGs</t>
  </si>
  <si>
    <t>Doc Created @ Wed Feb 25 2015 06:37:14 GMT-0500 (EST); Doc Merged @ Wed Feb 25 2015 06:37:14 GMT-0500 (EST)</t>
  </si>
  <si>
    <t>Connecting MAPP measurements to the PFC conditions at the outer strike point</t>
  </si>
  <si>
    <t>V. Soukhanovskii, C. Skinner</t>
  </si>
  <si>
    <t xml:space="preserve">The goal of this XP is to relate MAPP measurements (in the far SOL) to the conditions at the outer strike point connecting the evolution of PFC composition at the two locations via spectroscopic measurements. In FY15, MAPP non-destructive surface analysis capabilities will be limited to elemental composition (e.g., C, Li, B, and O) in the first few nm (5-10) via XPS analysis. This XP aims at comparing the surface composition obtained from spectroscopic measurements of lithium, carbon and oxygen sputtering yields and deuterium recycling and their evolution during a discharge at the MAPP and outer strike point locations to the post-plasma exposure elemental composition measured by MAPP. The first introduction of lithium in the machine will lead to the clearest changes in surface composition and recycling characteristics. UEDGE and ERO modeling are envisioned to aid in the interpretation of the spectroscopic data. </t>
  </si>
  <si>
    <t>0B5-iztf28QNJVDhRN1VVME93cTQ</t>
  </si>
  <si>
    <t>https://docs.google.com/open?id=0B5-iztf28QNJVDhRN1VVME93cTQ</t>
  </si>
  <si>
    <t>Doc Created @ Fri Feb 20 2015 17:18:08 GMT-0500 (EST); Doc Merged @ Fri Feb 20 2015 17:18:08 GMT-0500 (EST); Email Sent @ Fri Feb 20 2015 17:18:13 GMT-0500 (EST)(fscotti@pppl.gov,nstx-u@pppl.gov)</t>
  </si>
  <si>
    <t>0B5-iztf28QNJa3R4aHNVMkVvcEE</t>
  </si>
  <si>
    <t>https://docs.google.com/open?id=0B5-iztf28QNJa3R4aHNVMkVvcEE</t>
  </si>
  <si>
    <t>Doc Created @ Wed Feb 25 2015 06:37:24 GMT-0500 (EST); Doc Merged @ Wed Feb 25 2015 06:37:24 GMT-0500 (EST)</t>
  </si>
  <si>
    <t>Study 3D and 0D aspects of locked mode mitigation</t>
  </si>
  <si>
    <t>Motivation: The majority of ITER disruptions will likely originate from LM, but mitigation studies are rarely done with “sick” plasma. Does the pre-existence of a tearing mode alter the 3-D radiation pattern during mitigation? How does timing &amp; injector location relative to LM O-point or X-point affect 0-D mitigation?
Experiment: Create tearing mode (NTM or resistive). Mitigate at various times during growth and at point of locking, measuring 0-D mitigation metrics. Rotate LM to various phases relative to injector before mitigation &amp; measure radiation asymmetry &amp; 0D mitigation metrics.
A similar experiment was carried out on DIII-D in 2014.</t>
  </si>
  <si>
    <t>0B5-iztf28QNJNUVnMG5TYS1jQlk</t>
  </si>
  <si>
    <t>https://docs.google.com/open?id=0B5-iztf28QNJNUVnMG5TYS1jQlk</t>
  </si>
  <si>
    <t>Doc Created @ Fri Feb 20 2015 17:19:26 GMT-0500 (EST); Doc Merged @ Fri Feb 20 2015 17:19:27 GMT-0500 (EST); Email Sent @ Fri Feb 20 2015 17:19:33 GMT-0500 (EST)(izzo@fusion.gat.com,nstx-u@pppl.gov)</t>
  </si>
  <si>
    <t>0B5-iztf28QNJbmJKZnR0OGw2b0E</t>
  </si>
  <si>
    <t>https://docs.google.com/open?id=0B5-iztf28QNJbmJKZnR0OGw2b0E</t>
  </si>
  <si>
    <t>Doc Created @ Wed Feb 25 2015 06:37:33 GMT-0500 (EST); Doc Merged @ Wed Feb 25 2015 06:37:34 GMT-0500 (EST)</t>
  </si>
  <si>
    <t>Periodic evaluation of PFC conditions during run campaign: lithium intercalation and XPS survey of elemental composition</t>
  </si>
  <si>
    <t>C. Skinner, V. Soukhanovskii</t>
  </si>
  <si>
    <t xml:space="preserve">This XP proposes routine test of key surface properties via non-destructive surface analysis (XPS) performed by MAPP to provide a ‘real-time’ estimate of the PFC surface conditions during the experimental campaign. 
(1) Routine test of intercalation of lithium on lithiated ATJ (e.g., once a week) via XPS analysis.  MAPP would be exposed to the last evaporation of the day, retracted before plasma exposure and XPS will be performed at the lithium and carbon 1s binding energies at regular intervals until a characteristic intercalation time can be observed.
(2) Periodical scan of elemental composition (e.g., once a week) to provide information on the PFC surface composition evolution during the run campaign. This information will be critical for comparison of the surface evolution observed from spectroscopic monitoring of the lower divertor PFCs. </t>
  </si>
  <si>
    <t>Necessary condition is having at least one ATJ sample not interchanged during the year and not undergoing TDS analysis.</t>
  </si>
  <si>
    <t>0B5-iztf28QNJMndhMjZXNWxBakU</t>
  </si>
  <si>
    <t>https://docs.google.com/open?id=0B5-iztf28QNJMndhMjZXNWxBakU</t>
  </si>
  <si>
    <t>Doc Created @ Fri Feb 20 2015 17:22:09 GMT-0500 (EST); Doc Merged @ Fri Feb 20 2015 17:22:10 GMT-0500 (EST); Email Sent @ Fri Feb 20 2015 17:22:15 GMT-0500 (EST)(fscotti@pppl.gov,nstx-u@pppl.gov)</t>
  </si>
  <si>
    <t>0B5-iztf28QNJUzRqZUlLXzNRYlU</t>
  </si>
  <si>
    <t>https://docs.google.com/open?id=0B5-iztf28QNJUzRqZUlLXzNRYlU</t>
  </si>
  <si>
    <t>Doc Created @ Wed Feb 25 2015 06:37:43 GMT-0500 (EST); Doc Merged @ Wed Feb 25 2015 06:37:43 GMT-0500 (EST)</t>
  </si>
  <si>
    <t>Using private flux MGI as super-radiative divertor for disruption mitigation</t>
  </si>
  <si>
    <t>Nick</t>
  </si>
  <si>
    <t>Eidietis</t>
  </si>
  <si>
    <t>eidietis@fusion.gat.com</t>
  </si>
  <si>
    <t>The initial goal of disruption mitigation is to limit the conducted heat flux to the divertor. However, this is usually accomplished by firing from far away from the divertor into the core plasma and attempting to reach ~100% radiation fraction from the core. In this experiment, we wish to explore the efficacy of firing from the private flux region into the divertor legs for avoiding conducted heat flux to the divertor.
The hypothesis being tested here is whether injecting into the divertor legs can effectively avoid conducted heat to the divertor while avoiding significant impurity migration into the core. If this holds, it may be possible to effectively mitigate the TQ while still maintaining a fairly warm (&amp; slow) CQ, which may be far more amenable to low-Z collisional runaway electron suppression due to the lower electric field. 
Plan: Start with plasma shape with one divertor leg directly over the PFR MGI. Initiate an unmitigated disruption (ramp Ip, perhaps) and observe the divertor heat flux. Then repeat, but fire neon MGI into inner leg. Compare inner/outer heat fluxes for mitigated &amp; unmitigated cases. Sweep legs across MGI shot-to-shot to observe any change in inner/outer heat flux as position of MGI within PFR is shifted.</t>
  </si>
  <si>
    <t>Critical diagnostics:
IR imaging of lower divertor
Fast bolometers
SPRED
interferometers</t>
  </si>
  <si>
    <t>0B5-iztf28QNJWERwblpOVTdIR0k</t>
  </si>
  <si>
    <t>https://docs.google.com/open?id=0B5-iztf28QNJWERwblpOVTdIR0k</t>
  </si>
  <si>
    <t>Doc Created @ Fri Feb 20 2015 18:17:20 GMT-0500 (EST); Doc Merged @ Fri Feb 20 2015 18:17:21 GMT-0500 (EST); Email Sent @ Fri Feb 20 2015 18:17:26 GMT-0500 (EST)(eidietis@fusion.gat.com,nstx-u@pppl.gov)</t>
  </si>
  <si>
    <t>0B5-iztf28QNJR01LcXBUVFRmdXM</t>
  </si>
  <si>
    <t>https://docs.google.com/open?id=0B5-iztf28QNJR01LcXBUVFRmdXM</t>
  </si>
  <si>
    <t>Doc Created @ Wed Feb 25 2015 06:37:53 GMT-0500 (EST); Doc Merged @ Wed Feb 25 2015 06:37:54 GMT-0500 (EST)</t>
  </si>
  <si>
    <t>Effect of snowflake on divertor heat flux during disruption</t>
  </si>
  <si>
    <t xml:space="preserve">Nick </t>
  </si>
  <si>
    <t>Purpose: Determine if advanced divertor configuration (snowflake in this case) can reduce the conducted heat flux to the divertor during a disruption.
Plan: Create similar LSN plasma targets, one with conventional divertor and one with snowflake divertor. Trigger natural disruption in both, and observe if the thermal footprint of the snowflake is wider than that of the conventional divertor.</t>
  </si>
  <si>
    <t>IR imaging of lower divertor.</t>
  </si>
  <si>
    <t>0B5-iztf28QNJNEJmQ1c1TVp6SDA</t>
  </si>
  <si>
    <t>https://docs.google.com/open?id=0B5-iztf28QNJNEJmQ1c1TVp6SDA</t>
  </si>
  <si>
    <t>Doc Created @ Fri Feb 20 2015 18:23:48 GMT-0500 (EST); Doc Merged @ Fri Feb 20 2015 18:23:49 GMT-0500 (EST); Email Sent @ Fri Feb 20 2015 18:23:57 GMT-0500 (EST)(eidietis@fusion.gat.com,nstx-u@pppl.gov)</t>
  </si>
  <si>
    <t>0B5-iztf28QNJZG1SWXFyMTlpWm8</t>
  </si>
  <si>
    <t>https://docs.google.com/open?id=0B5-iztf28QNJZG1SWXFyMTlpWm8</t>
  </si>
  <si>
    <t>Doc Created @ Wed Feb 25 2015 06:38:08 GMT-0500 (EST); Doc Merged @ Wed Feb 25 2015 06:38:09 GMT-0500 (EST)</t>
  </si>
  <si>
    <t>Impact of 3D radial field perturbations on turbulence, transport and ELMs</t>
  </si>
  <si>
    <t>George</t>
  </si>
  <si>
    <t>McKee</t>
  </si>
  <si>
    <t>mckee@fusion.gat.com</t>
  </si>
  <si>
    <t>D. Smith, R. Fonck</t>
  </si>
  <si>
    <t>Applied 3D magnetic perturbations can significantly alter transport properties in the outer core and pedestal regions. They have been shown to increase turbulence and can lead to density “pump-out”, reduction in toroidal rotation and, under the right (resonant?) conditions, suppress ELMs. Similar behavior has been observed on DIII-D and MAST, while AUG, which operates in a different collisionality regime, exhibits different transport behavior (e.g., less pump-out, rotation changes and ELM mitigation). Previously, NSTX demonstrated that ELMs can be destabilized in the ST with applied radial field perturbations (Canik, IAEA-2012). Understanding the physics of how 3D fields affect turbulence, transport and the pedestal/edge region will be crucial to successfully controlling and mitigating ELMs in ITER. Theoretical studies have suggested the 3D fields can alter growth rates for low-k instabilities (T. Bird, Nucl. Fusion 53 (2013) 013004) and affect damping of zonal flows (Leconte, Diamond, PHYS. PLASMAS 18, 082309 (2011)), which may explain the observed changes in turbulence (McKee, Nucl. Fusion 53 (2013) 113011). 
We propose to study 3D effects on turbulence and transport in NSTX-U by applying an n=3 field with the external “RWM” mid-plane coil set, and varying the field amplitude and q95 via plasma current scan at constant Bt at as low a collisionality as feasible. Measurements of density fluctuations with BES (low-k) and other fluctuation diagnostics will be obtained in the outer core, pedestal, and SOL regions. The plasma current scan will vary the resonant/non-resonant components of the applied field. Future studies would then utilize the Non-symmetric Control Coil (NCC) system to alter the poloidal field spectrum, if and when deployed.
</t>
  </si>
  <si>
    <t>Requires RWM/EF Coils and 2D BES diagnostic.</t>
  </si>
  <si>
    <t>0B5-iztf28QNJMExwQUpVR1pjajg</t>
  </si>
  <si>
    <t>https://docs.google.com/open?id=0B5-iztf28QNJMExwQUpVR1pjajg</t>
  </si>
  <si>
    <t>Doc Created @ Fri Feb 20 2015 19:04:08 GMT-0500 (EST); Doc Merged @ Fri Feb 20 2015 19:04:09 GMT-0500 (EST); Email Sent @ Fri Feb 20 2015 19:04:13 GMT-0500 (EST)(mckee@fusion.gat.com,nstx-u@pppl.gov)</t>
  </si>
  <si>
    <t>0B5-iztf28QNJZHgzZGVqczZHMWs</t>
  </si>
  <si>
    <t>https://docs.google.com/open?id=0B5-iztf28QNJZHgzZGVqczZHMWs</t>
  </si>
  <si>
    <t>Doc Created @ Wed Feb 25 2015 06:38:18 GMT-0500 (EST); Doc Merged @ Wed Feb 25 2015 06:38:18 GMT-0500 (EST)</t>
  </si>
  <si>
    <t>Generating and Characterizing the Edge Harmonic Oscillation via Counter-Ip Torque Injection</t>
  </si>
  <si>
    <t>Quiescent H-modes (QH) have demonstrated high performance and steady parameters for many energy confinement times without ELMs. A key element of the QH mode is the presence of an Edge Harmonic Oscillation (EHO). The EHO, a low-n electromagnetic fluctuation, appears to continuously pump particles, thus regulating and controlling pedestal electron, ion and impurity density. The EHO is observed with a fundamental and numerous harmonics with a distinct 2D (radial-poloidal) structure across the edge/pedestal region. In experiments on DIII-D, QH-mode is most readily achieved with counter-plasma current neutral beam injection that generates an exceptionally deep Er well due to the additive contributions of the v_toroidalXB_T and diamagnetic contributions to Er. The large rotation gradient is thought to both drive and saturate a kink-peeling mode that permits the pedestal to sit near the peeling-ballooning stability boundary in low-collisionality discharges without ELMing. 
The advent of the additional tangential neutral beam system, lower collisionality and long-pulse operation on NSTX-U offers the prospect of generating the EHO and thereby potentially stabilizing ELMs while achieving good H-mode confinement at moderate to high beta. To maximize the chance for success, it would be optimal to perform the experiment with counter plasma-current neutral beam injection, though it will need to be confirmed with the operations group if this is technically feasible and permitted to reverse plasma current. Counter ion beam losses could prove problematic. If not feasible, then attempting in forward (standard direction) Ip at very high rotation is worth attempting. The experiment should be performed at the lowest density feasible (Lithium coating may be desirable).
</t>
  </si>
  <si>
    <t>Counter-Ip NBI is requested (but experiment may be doable in standard Co-Ip NBI if not feasible). 2D BES required.</t>
  </si>
  <si>
    <t>0B5-iztf28QNJSDZSbUJNakN6YUU</t>
  </si>
  <si>
    <t>https://docs.google.com/open?id=0B5-iztf28QNJSDZSbUJNakN6YUU</t>
  </si>
  <si>
    <t>Doc Created @ Fri Feb 20 2015 19:07:36 GMT-0500 (EST); Doc Merged @ Fri Feb 20 2015 19:07:37 GMT-0500 (EST); Email Sent @ Fri Feb 20 2015 19:07:43 GMT-0500 (EST)(mckee@fusion.gat.com,nstx-u@pppl.gov)</t>
  </si>
  <si>
    <t>0B5-iztf28QNJczhZN1c2bXJLbVE</t>
  </si>
  <si>
    <t>https://docs.google.com/open?id=0B5-iztf28QNJczhZN1c2bXJLbVE</t>
  </si>
  <si>
    <t>Doc Created @ Wed Feb 25 2015 06:38:40 GMT-0500 (EST); Doc Merged @ Wed Feb 25 2015 06:38:41 GMT-0500 (EST)</t>
  </si>
  <si>
    <t xml:space="preserve">Interaction of applied 3D fields with detachment </t>
  </si>
  <si>
    <t>J.D. Lore, O. Schmitz, K.F. Gan, T.K. Gray, V.A. Soukhanovskii</t>
  </si>
  <si>
    <t>It is an important issue for ITER how applied 3D fields interact with divertor plasma and change the detachment onset/sustainment conditions. On the one hand, the enhanced parallel transport via short connection length field lines generated by 3D fields can lead to high heat and particle flux onto the divertor surface, as previously shown in NSTX. On the other hand, counter-streaming flow to be generated by 3D fields, expected from EMC3-Eirene modeling, can facilitate detachment via enhanced momentum loss. Plasma and 3D field configurations that produce strongest strike point splitting will be used to investigate the impact on detachment. Suitable n-number (n=3 or n=2) for this experiment will also need to be determined by gauging alignment of poloidal field spectra with the q=m/n rational surface. Divertor gas puffing will be used for both standard and snow-flake divertor configurations in order to investigate the interaction with 3D fields. Whether impurity seeding will work or not will need to be determined from a preceding, separate experiment.</t>
  </si>
  <si>
    <t>Divertor gas puffing, snowflake, n=3 and/or n=2</t>
  </si>
  <si>
    <t>0B5-iztf28QNJQkRaakdCQ0h0V28</t>
  </si>
  <si>
    <t>https://docs.google.com/open?id=0B5-iztf28QNJQkRaakdCQ0h0V28</t>
  </si>
  <si>
    <t>Doc Created @ Fri Feb 20 2015 19:08:37 GMT-0500 (EST); Doc Merged @ Fri Feb 20 2015 19:08:37 GMT-0500 (EST); Email Sent @ Fri Feb 20 2015 19:08:42 GMT-0500 (EST)(jahn@pppl.gov,nstx-u@pppl.gov)</t>
  </si>
  <si>
    <t>0B5-iztf28QNJbi1JYVV0MFpiUG8</t>
  </si>
  <si>
    <t>https://docs.google.com/open?id=0B5-iztf28QNJbi1JYVV0MFpiUG8</t>
  </si>
  <si>
    <t>Doc Created @ Wed Feb 25 2015 06:38:37 GMT-0500 (EST); Doc Merged @ Wed Feb 25 2015 06:38:38 GMT-0500 (EST)</t>
  </si>
  <si>
    <t>Role of plasma response in the formation of lobe structures by 3D fields</t>
  </si>
  <si>
    <t>J.K. Park, O. Schmitz, J.D. Lore, K.F. Gan, T.K. Gray, N.M. Ferraro</t>
  </si>
  <si>
    <t>ITPA - PEP19</t>
  </si>
  <si>
    <t>It has been shown in both NSTX and DIII-D that plasma response can either screen or amplify the applied 3D fields, so that the structure of separatrix splitting is significantly altered compared to the vacuum case. This leads to a different footprint pattern which means different surface heat and particle flux and erosion pattern. Comparison of measured surface heat flux profile to the IPEC modeling for DIII-D n=3 case demonstrated that screening is primarily from resonant components and amplification from non-resonant components. The experiment will focus on H-mode plasmas where high bootstrap current will play an important role in determining plasma response. First, as a knob to change pitch alignment, q95 scan will be performed. Second, triangularity scan will allow for varying non-resonant kink responses. Both n=1 and n=3 will be tested to check the relative role in the screening and amplification of vacuum lobe structures. Ideal and resistive plasma response modeling from IPEC and M3D-C1 will help compare to footprint data from camera images, eg wide angle IR and visible cameras. Ultimately EMC3-Eirene simulation of footprints pattern will be pursued for comparison with measurement.</t>
  </si>
  <si>
    <t>IPEC, M3D-C1, EMC3-Eirene</t>
  </si>
  <si>
    <t>0B5-iztf28QNJSWRYUUIxWFUtaE0</t>
  </si>
  <si>
    <t>https://docs.google.com/open?id=0B5-iztf28QNJSWRYUUIxWFUtaE0</t>
  </si>
  <si>
    <t>Doc Created @ Fri Feb 20 2015 19:20:37 GMT-0500 (EST); Doc Merged @ Fri Feb 20 2015 19:20:38 GMT-0500 (EST); Email Sent @ Fri Feb 20 2015 19:20:43 GMT-0500 (EST)(jahn@pppl.gov,nstx-u@pppl.gov)</t>
  </si>
  <si>
    <t>0B5-iztf28QNJQ2tDTVRvQ0FlR3c</t>
  </si>
  <si>
    <t>https://docs.google.com/open?id=0B5-iztf28QNJQ2tDTVRvQ0FlR3c</t>
  </si>
  <si>
    <t>Doc Created @ Wed Feb 25 2015 06:38:54 GMT-0500 (EST); Doc Merged @ Wed Feb 25 2015 06:38:55 GMT-0500 (EST)</t>
  </si>
  <si>
    <t>ELM suppression with mid-plane coils</t>
  </si>
  <si>
    <t>J.K. Park, R. Maingi, T.E. Evans</t>
  </si>
  <si>
    <t>Good pitch alignment to maximize resonant components of applied 3D fields is regarded as one of the most important factors to achieve ELM suppression and q95 is a key parameter to achieve this goal. The successful ELM suppression experiment using only mid-plane RMP coils in KSTAR (n=2) demonstrated in 2014 also showed the existence of q95 window for suppression. In NSTX, lower q95 was shown to be favorable to maximize resonant components but the target q95~5.5 has never been accessed for the ELM suppression experiment. However, higher aspect ratio and broader range of Ip and Bt in NSTX-U are expected to make the achievement of wider range of q95 easier. Access to the lower pedestal collisionality will be also helpful for ELM suppression. Appropriate plasma shape(s) for the target plasma will need to be explored and chosen among actual NSTX-U discharges. Suitable n-number (n=3 or n=2) for this experiment will also need to be determined by gauging alignment of poloidal field spectra with the q=m/n rational surface. A preliminary data analysis for some old NSTX discharges suggests that n=2 might be better than n=3 to maximize the resonant components for lower q95, but we need more detailed data analysis using NSTX-U discharges for more concrete prediction.</t>
  </si>
  <si>
    <t>0B5-iztf28QNJMTYwRXhPczQ1TEU</t>
  </si>
  <si>
    <t>https://docs.google.com/open?id=0B5-iztf28QNJMTYwRXhPczQ1TEU</t>
  </si>
  <si>
    <t>Doc Created @ Fri Feb 20 2015 19:31:23 GMT-0500 (EST); Doc Merged @ Fri Feb 20 2015 19:31:23 GMT-0500 (EST); Email Sent @ Fri Feb 20 2015 19:31:27 GMT-0500 (EST)(jahn@pppl.gov,nstx-u@pppl.gov)</t>
  </si>
  <si>
    <t>0B5-iztf28QNJVnhEeUI3WjBPOGM</t>
  </si>
  <si>
    <t>https://docs.google.com/open?id=0B5-iztf28QNJVnhEeUI3WjBPOGM</t>
  </si>
  <si>
    <t>Doc Created @ Wed Feb 25 2015 06:39:07 GMT-0500 (EST); Doc Merged @ Wed Feb 25 2015 06:39:08 GMT-0500 (EST)</t>
  </si>
  <si>
    <t>Studies of low- and high-Z dust transport in NSTX-U</t>
  </si>
  <si>
    <t>Roman</t>
  </si>
  <si>
    <t>Smirnov</t>
  </si>
  <si>
    <t>rsmirnov@ucsd.edu</t>
  </si>
  <si>
    <t>S.I. Krasheninnikov, A.Yu. Pigarov, T.D. Rognlien</t>
  </si>
  <si>
    <t>R(15-1), R(15-3), DSOL-34, PEP-30, PEP-37</t>
  </si>
  <si>
    <t>Goals:
•	Experimental validation and improvement of dust-plasma interaction models, in particular, of ablation cloud shielding for big (&gt;10µm) dust grains.
•	Quantification of volumetric impurity source produced by dust and its impact on plasma parameters and stability.
•	Interpretive simulations of coupled dust-plasma transport in NSTX-U operational regimes with lithium dust injection.
•	Development of predictive modeling capabilities for evaluation of dust impact on ITER performance.
Importance:
Dust injection into SOL plasma either intentional or due to damage of PFCs by ELMs can have significant both positive (Li dust) and negative (high-Z dust) impact on plasma performance. In situ lithiation of NSTX-U PFCs using dust injection has also been considered to facilitate continuous hydrogen pumping by the PFCs. In addition, dust ablation in the plasma provides a volumetric impurity source, effects of which on plasma performance need to be understood. The big dust grains (&gt;10µm) are of most interest due to large material content and the ablation cloud shielding effects. The existing dust-plasma interaction models need improvement and validation to account for the shielding.
Plan:
Dosed injection of low-Z (lithium) and high-Z (tungsten) dust of different sizes in NSTX-U SOL plasma using dropper injector is proposed. Dust trajectories and plasma parameters, including impurity concentration profiles, will be monitored with stereoscopic cameras and available plasma diagnostics. The acquired data on dust transport and plasma characteristics will be used for simulations of coupled dust-plasma transport with DUSTT-UEDGE code allowing benchmarking of the dust shielding and ablation models and interpretation of the experimental results.
</t>
  </si>
  <si>
    <t>The dust "dropper" injector is required. Stereoscopic fast camera imaging system is highly desirable.</t>
  </si>
  <si>
    <t>0B5-iztf28QNJRDRNakVkNzZ4Mk0</t>
  </si>
  <si>
    <t>https://docs.google.com/open?id=0B5-iztf28QNJRDRNakVkNzZ4Mk0</t>
  </si>
  <si>
    <t>Doc Created @ Fri Feb 20 2015 20:36:45 GMT-0500 (EST); Doc Merged @ Fri Feb 20 2015 20:36:46 GMT-0500 (EST); Email Sent @ Fri Feb 20 2015 20:36:52 GMT-0500 (EST)(rsmirnov@ucsd.edu,nstx-u@pppl.gov)</t>
  </si>
  <si>
    <t>0B5-iztf28QNJVFU0cjk0emp3T1E</t>
  </si>
  <si>
    <t>https://docs.google.com/open?id=0B5-iztf28QNJVFU0cjk0emp3T1E</t>
  </si>
  <si>
    <t>Doc Created @ Wed Feb 25 2015 06:39:21 GMT-0500 (EST); Doc Merged @ Wed Feb 25 2015 06:39:21 GMT-0500 (EST)</t>
  </si>
  <si>
    <t>Characterize plasma near planned plenum entrance position</t>
  </si>
  <si>
    <t>Canik</t>
  </si>
  <si>
    <t>canikjm@ornl.gov</t>
  </si>
  <si>
    <t>The physics design of a cryo pump has been completed for NSTX-U.  This is based on projections of the plasma profiles using empirical SOL width scalings combined with strong assumptions on the divertor temperature.  This experiment aims to measure directly the plasma in the proximity of where the pump entrance is planned in order to confirm the physics design of the system.  Since the cryo pump initially targets a more conventional boronized-wall ELMy scenario, this experiment should be executed in the boronized phase of operation early in the campaign.  
The experiment aims to perform to execute two scans that are less likely to otherwise be performed during the B operation phase (assuming the Ip and Bt scans will be done elsewhere that pump-relevant divertor data can be gathered from).  These are: 1) X-point height for fixed strike point radius to systematically vary the flux expansion on the divertor floor, and 2) strike point position scan to evaluate the impact of proximity to plenum entrance on the expected pump performance.  
</t>
  </si>
  <si>
    <t>Floor langmuir probes</t>
  </si>
  <si>
    <t>0B5-iztf28QNJWGJOQlplbjRoRlU</t>
  </si>
  <si>
    <t>https://docs.google.com/open?id=0B5-iztf28QNJWGJOQlplbjRoRlU</t>
  </si>
  <si>
    <t>Doc Created @ Fri Feb 20 2015 21:59:09 GMT-0500 (EST); Doc Merged @ Fri Feb 20 2015 21:59:10 GMT-0500 (EST); Email Sent @ Fri Feb 20 2015 21:59:14 GMT-0500 (EST)(canikjm@ornl.gov,nstx-u@pppl.gov)</t>
  </si>
  <si>
    <t>0B5-iztf28QNJV1VBODBCODlWZjA</t>
  </si>
  <si>
    <t>https://docs.google.com/open?id=0B5-iztf28QNJV1VBODBCODlWZjA</t>
  </si>
  <si>
    <t>Doc Created @ Wed Feb 25 2015 06:39:33 GMT-0500 (EST); Doc Merged @ Wed Feb 25 2015 06:39:34 GMT-0500 (EST)</t>
  </si>
  <si>
    <t>Re-establish ELM pacing via 3-D fields in NSTXU</t>
  </si>
  <si>
    <t>J. Lore</t>
  </si>
  <si>
    <t>ELM pacing via 3-D fields has proved a viable impurity control technique in NSTX under heavy lithium conditioning.  This is also expected to be one of several techniques applied in NSTX-U for controlling particle inventory.  However, given the changes to the machine, prior to deploying this technique for particle control, the triggering of ELMs at NSTX-U parameters needs to be demonstrated.  This includes both re-establishing the technique for NSTX-like conditions, and for the expanded operational range of the upgrade.  To accomplish this, square-wave n=3 fields will be applied using the RWM coil set, with amplitude and pulse duration varied to establish the necessary condition for ELM triggering.  Ip, Bt, and PNBI should be scanned, with values based on previous scans done elsewhere within the NSTXU program (i.e., establish ELM triggering for highest-performance candidate discharges).  These experiments will inform later attempts to combine ELM pacing via 3D fields with other impurity control techniques to fully control particle content.</t>
  </si>
  <si>
    <t>Li, RWM coils configured as n=3</t>
  </si>
  <si>
    <t>0B5-iztf28QNJdUZSNEF3eXVNaGM</t>
  </si>
  <si>
    <t>https://docs.google.com/open?id=0B5-iztf28QNJdUZSNEF3eXVNaGM</t>
  </si>
  <si>
    <t>Doc Created @ Fri Feb 20 2015 22:03:03 GMT-0500 (EST); Doc Merged @ Fri Feb 20 2015 22:03:03 GMT-0500 (EST); Email Sent @ Fri Feb 20 2015 22:03:08 GMT-0500 (EST)(canikjm@ornl.gov,nstx-u@pppl.gov)</t>
  </si>
  <si>
    <t>0B5-iztf28QNJdkFNbUVIOXlSOVE</t>
  </si>
  <si>
    <t>https://docs.google.com/open?id=0B5-iztf28QNJdkFNbUVIOXlSOVE</t>
  </si>
  <si>
    <t>Doc Created @ Wed Feb 25 2015 06:39:50 GMT-0500 (EST); Doc Merged @ Wed Feb 25 2015 06:39:51 GMT-0500 (EST)</t>
  </si>
  <si>
    <t>EPH access and long-pulse development</t>
  </si>
  <si>
    <t>S. Gerhardt</t>
  </si>
  <si>
    <t xml:space="preserve">The goals of this experiment are to a) extend the duration of the Enhanced Pedestal (EP-) H-mode and to b) document the conditions conducive to its access.  The first will be performed using feedback control tools under conditions where EPH has been consistently produced.  The second will be performed by perturbing plasma parameters around this operating point and documenting where EPH is accessed.
Experiments were initiated in 2010 (XP1064) that attempted to produce the EPH mode and sustain it using feedback control tools, especially betaN control.  It was found that a discharge with low q95 (e.g., 141340: Ip=1.2MA, Bt=0.45T, q95~6.5) gave reliable, naturally occurring access to the EPH early in the current flattop.  Beta feedback was applied to try to extend the duration of the EPH before disruption.  While the discharge length could be extended, the EPH phase was generally ended by the occurrence of an ELM.  This was with single LiTER operation, so that ability to increase lithium to avoid this ELM was limited.  This proposal will continue these efforts to extend the EPH at low q95, with dual LiTERs available to try to eliminate ELMs and avoid the back-transition from EPH.  This will naturally require re-establishing access to EPH; however low-q95 operation combined with lithium conditioning (and possibly SGI or 3D ELM triggering) have shown previously to be effective in producing EPH.
In addition to continuing the effort to extend the EPH, the access conditions will be probed by variations around the parameters that have been found to give reliable EPH phases.  In particular, q95 will be increased slightly by changing Ip, Bt, or both.  If EPH cannot be reached at increased q95, ramping the plasma current down just after EPH can be attempted to test if EPH can be maintained at increased q95 after being accessed at a lower value.  </t>
  </si>
  <si>
    <t>LiTERs</t>
  </si>
  <si>
    <t>0B5-iztf28QNJeDlOdGFSTERPTHM</t>
  </si>
  <si>
    <t>https://docs.google.com/open?id=0B5-iztf28QNJeDlOdGFSTERPTHM</t>
  </si>
  <si>
    <t>Doc Created @ Fri Feb 20 2015 22:10:30 GMT-0500 (EST); Doc Merged @ Fri Feb 20 2015 22:10:32 GMT-0500 (EST); Email Sent @ Fri Feb 20 2015 22:10:38 GMT-0500 (EST)(canikjm@ornl.gov,nstx-u@pppl.gov)</t>
  </si>
  <si>
    <t>0B5-iztf28QNJWnNWbjFkNEItdHc</t>
  </si>
  <si>
    <t>https://docs.google.com/open?id=0B5-iztf28QNJWnNWbjFkNEItdHc</t>
  </si>
  <si>
    <t>Doc Created @ Wed Feb 25 2015 06:40:04 GMT-0500 (EST); Doc Merged @ Wed Feb 25 2015 06:40:05 GMT-0500 (EST)</t>
  </si>
  <si>
    <t>Distinguishing between 3d magnetic field structures and transport</t>
  </si>
  <si>
    <t>J.-W. Ahn, J. Lore</t>
  </si>
  <si>
    <t xml:space="preserve">Many experiments have found that lobe-like structures near the X-point arise when RMP fields are applied.  While these qualitatively agree with magnetic structures predicted due to a stochastization of the edge magnetic field, they can be also produced by a non-axisymmetric radial heat flux even in the complete absence of a change to the magnetic field topology [Canik, TTF '14].  Since the presence of lobes is often interpreted as evidence that the field is stochastic, it is important to determine if this is really the case or if the lobes are present due to changes in transport alone.  Further, future devices need to protect the areas of the PFCs wetted by these lobes, and the relative roles of transport vs magnetic field topology will be important in predicting the locations of these areas.  The approach taken in this proposed experiment is to vary the SOL transport as much as possible, while attempting to keep the predicted magnetic lobes unchanged, and measuring the radial extent of the lobe structures.  This will be accomplished by performing a plasma current scan, which is known to strongly alter the SOL width, while keeping q95 constant and scaling the RMP field to maintain fixed vacuum lobe size.  In addition, since the plasma response is difficult to predict beforehand, a coarse scan of n=3 field amplitude will also be performed at each plasma current level, so that the magnetic lobe size including plasma response (using, e.g., M3D-C1) can be calculated and compared to measurements.  By separately varying the transport level and magnetic lobe size, this experiment will allow the relative importance of each to determining the non-axisymmetric SOL flux patterns to be determined.  </t>
  </si>
  <si>
    <t>RWM config in n=3</t>
  </si>
  <si>
    <t>0B5-iztf28QNJWDR5VFpOX1NPdGM</t>
  </si>
  <si>
    <t>https://docs.google.com/open?id=0B5-iztf28QNJWDR5VFpOX1NPdGM</t>
  </si>
  <si>
    <t>Doc Created @ Fri Feb 20 2015 22:23:05 GMT-0500 (EST); Doc Merged @ Fri Feb 20 2015 22:23:05 GMT-0500 (EST); Email Sent @ Fri Feb 20 2015 22:23:09 GMT-0500 (EST)(canikjm@ornl.gov,nstx-u@pppl.gov)</t>
  </si>
  <si>
    <t>0B5-iztf28QNJcmMwVThHazRtbUE</t>
  </si>
  <si>
    <t>https://docs.google.com/open?id=0B5-iztf28QNJcmMwVThHazRtbUE</t>
  </si>
  <si>
    <t>Doc Created @ Wed Feb 25 2015 06:40:19 GMT-0500 (EST); Doc Merged @ Wed Feb 25 2015 06:40:19 GMT-0500 (EST)</t>
  </si>
  <si>
    <t>Impact of 3-D fields on pedestal profiles under varying wall conditions and collisionality.</t>
  </si>
  <si>
    <t>The goal of this experiment is to measure the response of the pedestal density and temperature profiles to the application of 3-D fields both under boronized conditions and with lithium.  This experiment will also exploit the expanded parameter range of NSTXU to test the impact of reduced collisionality on pedestal response to 3D fields.
Previous experiments at NSTX have shown that 3-D fields have relatively small and varying effects on the pedestal parameters.  Measurements made without lithium conditioning showed an increase in the pedestal electron temperature, while the density was largely unaffected [Canik, PRL 10].  When similar measurements were made during lithiumized ELM-free plasmas, on the other hand, a local flattering in the density and electron temperature was observed in the pedestal region [Ahn, NF 10].  This experiment aims to document these varying effects of 3-D fields on edge transport, and to further explore the differences that have been observed without and with lithium, making use of the upgraded pedestal diagnostics that will be available during this campaign.  Measurements will be made for multiple NBI input powers.  This will vary the plasma beta, which DIII-D has shown affects the edge response to RMPs, as well as the toroidal rotation, which is expected to play a role in screening.  In order to make a closer connection to DIII-D results, and to make the results more amenable to stability analysis, these measurements will be made in a low triangularity shape.  Finally,measurements will be repeated at reduced collisonality, which has been shown experimentally and theoretically to be an important factor setting the pedestal response.  This step would likely be executed later in the run, assuming the particle control group finds success in reducing the density so that the lowest collisionality plasma can be achieved.</t>
  </si>
  <si>
    <t>RWM config as n=3</t>
  </si>
  <si>
    <t>0B5-iztf28QNJMmlLOThVVV94eE0</t>
  </si>
  <si>
    <t>https://docs.google.com/open?id=0B5-iztf28QNJMmlLOThVVV94eE0</t>
  </si>
  <si>
    <t>Doc Created @ Fri Feb 20 2015 22:32:07 GMT-0500 (EST); Doc Merged @ Fri Feb 20 2015 22:32:08 GMT-0500 (EST); Email Sent @ Fri Feb 20 2015 22:32:14 GMT-0500 (EST)(canikjm@ornl.gov,nstx-u@pppl.gov)</t>
  </si>
  <si>
    <t>0B5-iztf28QNJdXFkdm0wTko3eUU</t>
  </si>
  <si>
    <t>https://docs.google.com/open?id=0B5-iztf28QNJdXFkdm0wTko3eUU</t>
  </si>
  <si>
    <t>Doc Created @ Wed Feb 25 2015 06:40:32 GMT-0500 (EST); Doc Merged @ Wed Feb 25 2015 06:40:32 GMT-0500 (EST)</t>
  </si>
  <si>
    <t>Relation between the midplane SOL pressure width and the divertor heat flux width</t>
  </si>
  <si>
    <t>Hager</t>
  </si>
  <si>
    <t>rhager@pppl.gov</t>
  </si>
  <si>
    <t>Choong-Seock Chang, Seung-Hoe Ku, Rajesh Maingi, Michael Churchill</t>
  </si>
  <si>
    <t>FES Theory Milestone 2016</t>
  </si>
  <si>
    <t>Understanding and predicting the divertor heat flux width is crucial for ITER and is the FES theory milestone for FY 2016. The goal of this experiment is to clarify the relation between the widths of the pressure pedestal in the scrape-off layer (SOL) and the divertor heat flux. Experimental data will be compared to and interpreted through numerical studies using the codes XGCa and XGC1.
According to a heuristic scaling model by Goldston (Nucl. Fusion, 2012), XGC1 (IAEA 2014) and XGC0 simulation results (JRT2010), the heat flux width is of the order of the ion orbit width, i.e. inversely proportional to the plasma current. Since this scaling has been observed in experiments as well (JRT 2010 Final Report), it became a concern for ITER. However, in ITER, the width of blobs is expected to supersede the ion orbit width. The resistive ballooning modes in the SOL and their effect on the heat load width are also not well understood. These effects may lead to SOL pressure profiles broader than the ion orbit width.
In order to investigate the relation of the SOL width at the midplane to the divertor heat load, the midplane pressure profile measured with Thomson scattering can be compared to the divertor heat flux width. In order to resolve the midplane SOL width the separatrix needs to be placed in the middle of the highest resolution observation range of the Thomson scattering diagnosis. A slow motion of the separatrix can be imposed to maximize the spatial resolution. Data from comparable experiments at DIII-D and C-Mod is available for comparison. The experimental data will be analyzed using the gyrokinetic neoclassical code XGCa -- and eventually XGC1 -- to study the effects of parallel transport, ion orbit width, cross-field transport due to ExB drift, SOL turbulence, etc. that are neglected in conventional 2-point and heuristic models. Possible synergies can exist with an experiment to compare turbulence at the midplane and the divertor proposed by S. Zweben.</t>
  </si>
  <si>
    <t>The separatrix position needs to be aligned with the highest resolution observation range of the Thomson scattering diagnosis with some of the high-res measurement points on either side. An additional radial variation of the separatrix position in time to maximize spatial resolution is desirable.</t>
  </si>
  <si>
    <t>0B5-iztf28QNJQUJpZGpyeVc5ams</t>
  </si>
  <si>
    <t>https://docs.google.com/open?id=0B5-iztf28QNJQUJpZGpyeVc5ams</t>
  </si>
  <si>
    <t>Doc Created @ Fri Feb 20 2015 23:40:27 GMT-0500 (EST); Doc Merged @ Fri Feb 20 2015 23:40:28 GMT-0500 (EST); Email Sent @ Fri Feb 20 2015 23:40:34 GMT-0500 (EST)(rhager@pppl.gov,nstx-u@pppl.gov)</t>
  </si>
  <si>
    <t>0B5-iztf28QNJQ0V6UXNYQ09oRjA</t>
  </si>
  <si>
    <t>https://docs.google.com/open?id=0B5-iztf28QNJQ0V6UXNYQ09oRjA</t>
  </si>
  <si>
    <t>Doc Created @ Wed Feb 25 2015 06:40:54 GMT-0500 (EST); Doc Merged @ Wed Feb 25 2015 06:40:54 GMT-0500 (EST)</t>
  </si>
  <si>
    <t>Develop VERY long pulse H-mode for NSTX-U</t>
  </si>
  <si>
    <t>Gerhardt, Menard, Maingi, Mueller,...</t>
  </si>
  <si>
    <t>R15-3, notable outcome</t>
  </si>
  <si>
    <t>We want to make the longest possible H-mode plasma (at least 4.5 seconds). This will have aspects of particle control, MHD control, shape control, and other topics. 
If successful, this supports goals in the area of particle control studies and accumulating long amounts of shot time without disruption. As such it is a candidate for cross-cutting time. 
But, we will present it in ASC.</t>
  </si>
  <si>
    <t>beams at 80 kV tuned for long-pulse operation</t>
  </si>
  <si>
    <t>0B5-iztf28QNJTHN5d3N2eXJ0ZU0</t>
  </si>
  <si>
    <t>https://docs.google.com/open?id=0B5-iztf28QNJTHN5d3N2eXJ0ZU0</t>
  </si>
  <si>
    <t>Doc Created @ Sat Feb 21 2015 09:52:03 GMT-0500 (EST); Doc Merged @ Sat Feb 21 2015 09:52:04 GMT-0500 (EST); Email Sent @ Sat Feb 21 2015 09:52:09 GMT-0500 (EST)(battaglia@pppl.gov,nstx-u@pppl.gov)</t>
  </si>
  <si>
    <t>0B5-iztf28QNJMkhHMG5GemxTa3c</t>
  </si>
  <si>
    <t>https://docs.google.com/open?id=0B5-iztf28QNJMkhHMG5GemxTa3c</t>
  </si>
  <si>
    <t>Doc Created @ Wed Feb 25 2015 06:41:06 GMT-0500 (EST); Doc Merged @ Wed Feb 25 2015 06:41:07 GMT-0500 (EST)</t>
  </si>
  <si>
    <t>Reversed Shear Plasma with Relaxed Profiles</t>
  </si>
  <si>
    <t>Menard, Boyer</t>
  </si>
  <si>
    <t>This goal of this XP is to generate reversed shear H-modes using the 2nd NBI. Elements include i) operating at low density, so the NBCD is high, ii) using the 130 source to drive as much current as possible off axis, iii) using a fairly late outer gap (consistent with vertical stability and the like), operating at highs possible Bt and moderate q95, so that the inductive current is not too strong. All these together may be a good recipe for generating steady state reversed shear.
At a minimum, this experiment will test off axis NBCD predictions in an extreme case. With moderate success, it would allow a study of how core confinement depends on qmin. If very successful, it might generate H-mode ITB scenarios with very high confinement (and potentially poor stability!).</t>
  </si>
  <si>
    <t>MSE is required.</t>
  </si>
  <si>
    <t>0B5-iztf28QNJeURVVWtlZDZmelU</t>
  </si>
  <si>
    <t>https://docs.google.com/open?id=0B5-iztf28QNJeURVVWtlZDZmelU</t>
  </si>
  <si>
    <t>Doc Created @ Sat Feb 21 2015 10:48:26 GMT-0500 (EST); Doc Merged @ Sat Feb 21 2015 10:48:27 GMT-0500 (EST); Email Sent @ Sat Feb 21 2015 10:48:33 GMT-0500 (EST)(sgerhard@pppl.gov,nstx-u@pppl.gov)</t>
  </si>
  <si>
    <t>0B5-iztf28QNJOU5rWXN4OUNfWFU</t>
  </si>
  <si>
    <t>https://docs.google.com/open?id=0B5-iztf28QNJOU5rWXN4OUNfWFU</t>
  </si>
  <si>
    <t>Doc Created @ Wed Feb 25 2015 06:41:21 GMT-0500 (EST); Doc Merged @ Wed Feb 25 2015 06:41:21 GMT-0500 (EST)</t>
  </si>
  <si>
    <t>Increase Bt above 0.5T, Ip above 1MA</t>
  </si>
  <si>
    <t>Dennis Mueller, Stefan Gerhardt</t>
  </si>
  <si>
    <t xml:space="preserve">XMP or XP to increase Ip and Bt above the commissioning levels (0.5 T and 1.0 MA) within the bounds established by DCPS.  </t>
  </si>
  <si>
    <t>Heat flux monitoring at higher Ip.</t>
  </si>
  <si>
    <t>0B5-iztf28QNJS25rYkpVOHpjZWM</t>
  </si>
  <si>
    <t>https://docs.google.com/open?id=0B5-iztf28QNJS25rYkpVOHpjZWM</t>
  </si>
  <si>
    <t>Doc Created @ Sat Feb 21 2015 11:19:54 GMT-0500 (EST); Doc Merged @ Sat Feb 21 2015 11:19:55 GMT-0500 (EST); Email Sent @ Sat Feb 21 2015 11:20:00 GMT-0500 (EST)(dbattagl@pppl.gov,nstx-u@pppl.gov)</t>
  </si>
  <si>
    <t>0B5-iztf28QNJRXNON3hlcjRqZWM</t>
  </si>
  <si>
    <t>https://docs.google.com/open?id=0B5-iztf28QNJRXNON3hlcjRqZWM</t>
  </si>
  <si>
    <t>Doc Created @ Wed Feb 25 2015 06:41:33 GMT-0500 (EST); Doc Merged @ Wed Feb 25 2015 06:41:33 GMT-0500 (EST)</t>
  </si>
  <si>
    <t>Effect of beam tangency radius on H-mode access and quality with XGC simulations</t>
  </si>
  <si>
    <t>Churchill</t>
  </si>
  <si>
    <t>rchurchi@pppl.gov</t>
  </si>
  <si>
    <t>CS Chang, R. Maingi, S. Kaye, D. Battaglia, R. Hager, A. Diallo</t>
  </si>
  <si>
    <t>The goal of this proposal is to understand how varying the location of the applied heat/torque affects H-mode access and quality. To study this, experiments are proposed to vary the neutral beam source used, as each beam source has a different tangency radius (50, 60, 70, 110, 120, and 130 cm). Neutral beam sources in beam 1 give dominantly on-axis heating, while the furthest out sources in beam 2 can give off-axis heating. Physically, any higher heating at the edge may raise the pedestal temperature, and subsequently the radial electric field. Increased ExB shearing is thought to play a significant role  in H-mode access and quality. In addition to varying the beams used, changing the active X-point will be explored, as observations have shown the H-mode power threshold to change with input torque and active X-point  [McKee, G. R., et. al. (2009). NF 49(11), 115016].
XGC codes will be used to do predictive and interpretive simulations. These are difficult in L-mode plasmas, due to the higher anomalous transport near the edge, but predictive simulations of H-modes with on- and off-axis heating will be used to give some guidance to the experiments. The interpretive simulations will seek to understand the mechanisms leading to different H-mode power thresholds with varying on-axis/off-axis heating and torque input.</t>
  </si>
  <si>
    <t>Specific beam source setup (TBD)
Shake down of CHERS system, and determination of beam setup to allow quality rotation and Ti measurements.
Pedestal/near SOL measurements with MPTS
LSN and USN plasmas.</t>
  </si>
  <si>
    <t>0B5-iztf28QNJV1ZBVzc5bHJkcnc</t>
  </si>
  <si>
    <t>https://docs.google.com/open?id=0B5-iztf28QNJV1ZBVzc5bHJkcnc</t>
  </si>
  <si>
    <t>Doc Created @ Sat Feb 21 2015 12:20:01 GMT-0500 (EST); Doc Merged @ Sat Feb 21 2015 12:20:01 GMT-0500 (EST); Email Sent @ Sat Feb 21 2015 12:20:08 GMT-0500 (EST)(rchurchi@pppl.gov,nstx-u@pppl.gov)</t>
  </si>
  <si>
    <t>0B5-iztf28QNJdEJBT2QyOF9GeVE</t>
  </si>
  <si>
    <t>https://docs.google.com/open?id=0B5-iztf28QNJdEJBT2QyOF9GeVE</t>
  </si>
  <si>
    <t>Doc Created @ Wed Feb 25 2015 06:41:48 GMT-0500 (EST); Doc Merged @ Wed Feb 25 2015 06:41:53 GMT-0500 (EST)</t>
  </si>
  <si>
    <t>Effect of poloidal variation of gas fueling on H-mode access and sustainment</t>
  </si>
  <si>
    <t>CS Chang, R. Maingi, R. Hager, D. Stotler</t>
  </si>
  <si>
    <t xml:space="preserve">Experiments have been proposed to optimize the fueling into H-mode [Battaglia, NSTX-U Research forum]. This proposal is for theoretical work using XGC0 simulations to qualitatively understand the effect of the poloidal variation of gas fueling on H-mode access and sustainment on NSTX-U. Intuitively, effective fueling can lead to higher pedestal densities, but may also cool pedestal temperatures. We will study how the various poloidal positions of the gas fueling effect the pedestal pressure, and radial electric field. </t>
  </si>
  <si>
    <t>Quality MPTS measurements</t>
  </si>
  <si>
    <t>0B5-iztf28QNJLUdTbEFPY21sMEE</t>
  </si>
  <si>
    <t>https://docs.google.com/open?id=0B5-iztf28QNJLUdTbEFPY21sMEE</t>
  </si>
  <si>
    <t>Doc Created @ Sat Feb 21 2015 12:27:11 GMT-0500 (EST); Doc Merged @ Sat Feb 21 2015 12:27:11 GMT-0500 (EST); Email Sent @ Sat Feb 21 2015 12:27:16 GMT-0500 (EST)(rchurchi@pppl.gov,nstx-u@pppl.gov)</t>
  </si>
  <si>
    <t>0B5-iztf28QNJMnkySXNtcnN6aFk</t>
  </si>
  <si>
    <t>https://docs.google.com/open?id=0B5-iztf28QNJMnkySXNtcnN6aFk</t>
  </si>
  <si>
    <t>Doc Created @ Wed Feb 25 2015 06:42:03 GMT-0500 (EST); Doc Merged @ Wed Feb 25 2015 06:42:03 GMT-0500 (EST)</t>
  </si>
  <si>
    <t>Effect of neutral particles on upstream and pedestal turbulence</t>
  </si>
  <si>
    <t>C.S.</t>
  </si>
  <si>
    <t>Chang</t>
  </si>
  <si>
    <t>cschang@pppl.gov</t>
  </si>
  <si>
    <t>S. Ku, J. Lang. A. Diallo, S. Zweben</t>
  </si>
  <si>
    <t>R15-1, R16-1</t>
  </si>
  <si>
    <t>XGC1 has seen evidence that a higher neutral recycling rate enhances plasma turbulence in the greater pedestal area (to be submitted to Physics of Plasmas). An experimental validation could answer the age long question.
This experimental proposal is to study the neutral source effect on plasma turbulence at outboard SOL and pedestal, using BES, GPI, reflectometry and others. Pedestal and core plasma profile behavior from Thomson and CHERS should be examined together. Measurement of toroidal and ExB rotations will be helpful.
Predictive and interpretive XGC simulations will be conducted before and after the experimental study.
Effect from both the strength and the poloidal location of the neutral gas puff should be studied, with emphasis on high gas puffing near the divertor plate, since this would be related to the issue of high recycling and detached divertor plasma.
Ideally these would be done in boronized plasmas; the effects of lithium coating is also interesting as it might be considered as an opposite effect to the gas puff.</t>
  </si>
  <si>
    <t>Measurement of turbulence, toroidal rotation, and poloidal rotation, together with tau_E and pedestal profile change upon the neutral puff.</t>
  </si>
  <si>
    <t>0B5-iztf28QNJcUpTVVphbTZrRk0</t>
  </si>
  <si>
    <t>https://docs.google.com/open?id=0B5-iztf28QNJcUpTVVphbTZrRk0</t>
  </si>
  <si>
    <t>Doc Created @ Sat Feb 21 2015 15:12:23 GMT-0500 (EST); Doc Merged @ Sat Feb 21 2015 15:12:24 GMT-0500 (EST); Email Sent @ Sat Feb 21 2015 15:12:28 GMT-0500 (EST)(cschang@pppl.gov,nstx-u@pppl.gov)</t>
  </si>
  <si>
    <t>0B5-iztf28QNJdE5iV1ZDQlM4bW8</t>
  </si>
  <si>
    <t>https://docs.google.com/open?id=0B5-iztf28QNJdE5iV1ZDQlM4bW8</t>
  </si>
  <si>
    <t>Doc Created @ Wed Feb 25 2015 06:42:16 GMT-0500 (EST); Doc Merged @ Wed Feb 25 2015 06:42:16 GMT-0500 (EST)</t>
  </si>
  <si>
    <t>Increased CHI Start-up Currents through Imposed Non-axisymmetric Perturbations</t>
  </si>
  <si>
    <t>Thomas R. Jarboe, Roger Raman, Derek A. Sutherland</t>
  </si>
  <si>
    <t>Non-inductive operations</t>
  </si>
  <si>
    <t>The goal of this XP is to determine whether externally-applied non-axisymmetric magnetic perturbations during CHI operation can enhance current penetration, as is suggested in the imposed-dynamo current drive (IDCD) model (Jarboe et al., Nuc. Fus., v52, n8, p083017, 2012). Transient CHI discharges undergo axisymmetric reconnection to create a non-inductive start-up plasma without non-axisymmetric magnetic activity.  Axisymmetric reconnection restricts the maximum final flux of the closed object to that of the initial injector flux; non-axisymmetric motion is required to achieve flux amplification (FA).  Previous experiments depended on current-driven plasma instabilities to produce the required non-axisymmetric motion for FA (e.g. HIT-II and SSPX).  Instead, IDCD directly applies non-axisymmetric perturbations to a kink-stable plasma to achieve current amplification (e.g. HIT-SI).  We propose to use the NSTX-U RMP coils to apply varying levels of non-axisymmetric perturbations (e.g. n=1) to transient CHI start-up plasmas, which may improve current penetration and flux amplification, resulting in higher-current start-up plasmas.  The IDCD model (ibid.) predicts for NSTX-U CHI plasmas (n=2.5x10^19 m^-3, T=30 eV) applied RMP fields of δB~50 G could support currents over 1 MA, with dI/dt rates of up to 80 MA/s.  The IDCD model has wide-ranging implications, e.g., it is consistent with the self-generated non-axisymmetric perturbations and current ramping rates seen during disruptions on DIII-D (Jarboe et al., submitted for publication).  If the IDCD model is successful in producing higher-current start-up plasmas on NSTX-U, there are further applications of IDCD, including ramping current up or down, and studies of disruption mechanisms and possible mitigation; these applications would be the subjects of future XPs (in this and other Working Groups).</t>
  </si>
  <si>
    <t>CHI capacitor bank tested and fully operational.
CHI cap bank operator.
Lower CHI gas injectors.
MOVs rated to support at least 2kV operations.
Divertor Li coating capability.
Successful production of transient CHI start-up plasmas.
RMP coils and associated power supplies.</t>
  </si>
  <si>
    <t>0B5-iztf28QNJNlFsSHJiTHFyaGs</t>
  </si>
  <si>
    <t>https://docs.google.com/open?id=0B5-iztf28QNJNlFsSHJiTHFyaGs</t>
  </si>
  <si>
    <t>Doc Created @ Sat Feb 21 2015 17:51:58 GMT-0500 (EST); Doc Merged @ Sat Feb 21 2015 17:51:59 GMT-0500 (EST); Email Sent @ Sat Feb 21 2015 17:52:04 GMT-0500 (EST)(nelson@ee.washington.edu,nstx-u@pppl.gov)</t>
  </si>
  <si>
    <t>0B5-iztf28QNJUjdSb1N1bU9xSkE</t>
  </si>
  <si>
    <t>https://docs.google.com/open?id=0B5-iztf28QNJUjdSb1N1bU9xSkE</t>
  </si>
  <si>
    <t>Doc Created @ Wed Feb 25 2015 06:42:27 GMT-0500 (EST); Doc Merged @ Wed Feb 25 2015 06:42:27 GMT-0500 (EST)</t>
  </si>
  <si>
    <t>Coupling to Plasma Fluctuations Using Amplitude Modulation of RF Antennas: A Shortcut to Driving the EHO?</t>
  </si>
  <si>
    <t>Theodore</t>
  </si>
  <si>
    <t>Golfinopoulos</t>
  </si>
  <si>
    <t>golfit@mit.edu</t>
  </si>
  <si>
    <t>B. LaBombard, R. Goldston, S. Wukitch, G. Wallace, Y. Lin, J.L. Terry, D. Brunner, W. Burke</t>
  </si>
  <si>
    <t>The NSTX-U team has examined the possibility of exciting the Edge Harmonic Oscillator (EHO) actively to better control transport through the edge plasma, and to access the Quiescent H-mode confinement regime.  Plans to modify the High-Harmonic Fast Wave (HHFW) antenna power system for this purpose have been proposed, with completion estimated around 2018.  A nearer-term experiment is available via amplitude modulation (AM) of the extant HHFW RF power system at the lower frequency (1-10 kHz) of the EHO, and we propose carrying out this very experiment.  The C-Mod team has experience employing AM to both its ion-cyclotron range of frequencies (ICRF) and lower hybrid (LH) RF power systems for the purpose of exciting plasma fluid modes, specifically, toroidal Alfven eigenmodes (TAEs) and the quasi-coherent mode (QCM), and has also built separate antennas to drive both classes of modes directly.  We believe that AM experiments on NSTX-U are feasible with little or no modifications to the existing RF system hardware, and will allow us to explore the topic of actively controlling the edge via driving the EHO, complementing longer-term projects utilizing direct drive.</t>
  </si>
  <si>
    <t>It is important that the digitizer timebases of the RF power and current envelopes are well-synchronized with those of the fluctuation diagnostics.</t>
  </si>
  <si>
    <t>0B5-iztf28QNJaVhYdHFCTFZGODA</t>
  </si>
  <si>
    <t>https://docs.google.com/open?id=0B5-iztf28QNJaVhYdHFCTFZGODA</t>
  </si>
  <si>
    <t>Doc Created @ Sun Feb 22 2015 02:32:40 GMT-0500 (EST); Doc Merged @ Sun Feb 22 2015 02:32:40 GMT-0500 (EST); Email Sent @ Sun Feb 22 2015 02:32:45 GMT-0500 (EST)(golfit@mit.edu,nstx-u@pppl.gov)</t>
  </si>
  <si>
    <t>0B5-iztf28QNJMmtMS0luV2VISGs</t>
  </si>
  <si>
    <t>https://docs.google.com/open?id=0B5-iztf28QNJMmtMS0luV2VISGs</t>
  </si>
  <si>
    <t>Doc Created @ Wed Feb 25 2015 06:42:39 GMT-0500 (EST); Doc Merged @ Wed Feb 25 2015 06:42:40 GMT-0500 (EST)</t>
  </si>
  <si>
    <t>Characterization of the scrape off layer density and SOL density control tools for Local Helicity Injection design.</t>
  </si>
  <si>
    <t>Joshua</t>
  </si>
  <si>
    <t>Reusch</t>
  </si>
  <si>
    <t>jareusch@wisc.edu</t>
  </si>
  <si>
    <t>M.W. Bongard, R.J. Fonck, G.R. McKee, D.R. Smith, K.E. Thome</t>
  </si>
  <si>
    <t>Addresses 5 year priority goal 2: Develop and understand non-inductive start-up and ramp-up.</t>
  </si>
  <si>
    <t>Successful implementation of Local Helicity Injection (LHI) non-solenoidal startup on PEGASUS has prompted an effort to evaluate physics-driven effects relevant to the design of a LHI system suitable for future deployment on NSTX-U. The design of the injector and power systems strongly depends upon the realized injector impedance. Recent experiments at PEGASUS have shown that this impedance can be set by two physical mechanisms: a space charge limit due to the expansion of a double layer sheath at the injector arc/SOL boundary (driven primarily by the arc density); and a quasi-neutrality limit set by the plasma density along the injected current’s path (i.e. the SOL density). Both mechanisms are active during LHI on PEGASUS. Measurements of the edge parameters are needed to accurately specify the injector geometry and power systems for NSTX-U compatibility. The proposed experiment would measure the typical operating points, actuators, and accessible range for the SOL density in NSTX-U in both boronized and lithiated scenarios. Specifically, we propose: to characterize and control the electron density in the SOL using low and high field side fueling; and to observe the parametric dependence of this density on NBI and HHFW power, plasma current, and divertor configuration. This data will inform the design of a future high-Ip injection system and provide support for developing operational scenarios for startup and handoff to subsequent current sustainment systems.</t>
  </si>
  <si>
    <t>Edge Langmuir probes, Thomson scattering, Reflectometer, NBI, HHFW</t>
  </si>
  <si>
    <t>0B5-iztf28QNJdlNlc0Nia05yVnM</t>
  </si>
  <si>
    <t>https://docs.google.com/open?id=0B5-iztf28QNJdlNlc0Nia05yVnM</t>
  </si>
  <si>
    <t>Doc Created @ Sun Feb 22 2015 08:20:45 GMT-0500 (EST); Doc Merged @ Sun Feb 22 2015 08:20:45 GMT-0500 (EST); Email Sent @ Sun Feb 22 2015 08:20:49 GMT-0500 (EST)(jareusch@wisc.edu,nstx-u@pppl.gov)</t>
  </si>
  <si>
    <t>0B5-iztf28QNJOElSZ0VJQUUzZ1k</t>
  </si>
  <si>
    <t>https://docs.google.com/open?id=0B5-iztf28QNJOElSZ0VJQUUzZ1k</t>
  </si>
  <si>
    <t>Doc Created @ Wed Feb 25 2015 06:42:53 GMT-0500 (EST); Doc Merged @ Wed Feb 25 2015 06:42:54 GMT-0500 (EST)</t>
  </si>
  <si>
    <t>EHO Scoping Study</t>
  </si>
  <si>
    <t>Rob</t>
  </si>
  <si>
    <t>Goldston</t>
  </si>
  <si>
    <t>goldston@pppl.gov</t>
  </si>
  <si>
    <t>Eric Fredrickson</t>
  </si>
  <si>
    <t>Milestone R(15-3)</t>
  </si>
  <si>
    <t>We have observed EHO's on NSTX with lithium conditioning at ~ 4MW of beam power, 800 kA and full toroidal field, when core MHD activity is weak. However, these EHOs have not been strong enough to cause significant transport and reduce carbon accumulation. We propose to observe these regimes in piggyback mode, but then use ~ 1 run day to explore the boundaries of their operational region on NSTX-U (including beam aiming angle), and their effects on particle confinement over this region. Since the only strong EHOs seen on DIII-D with co-injection involved edge braking with non-axisymmetric coils, we propose to apply n=3 edge braking to a case with clear EHOs and observe if this amplifies them and if it has an effect on particle confinement.</t>
  </si>
  <si>
    <t>Ltihium conditioning, ability to exceed previous NSTX field and current, flexibility of beam aiming angle with 2-3 beams, operational n=3 edge braking.</t>
  </si>
  <si>
    <t>0B5-iztf28QNJRV96QldQMnV6YTA</t>
  </si>
  <si>
    <t>https://docs.google.com/open?id=0B5-iztf28QNJRV96QldQMnV6YTA</t>
  </si>
  <si>
    <t>Doc Created @ Sun Feb 22 2015 08:45:55 GMT-0500 (EST); Doc Merged @ Sun Feb 22 2015 08:45:55 GMT-0500 (EST); Email Sent @ Sun Feb 22 2015 08:46:00 GMT-0500 (EST)(goldston@pppl.gov,nstx-u@pppl.gov)</t>
  </si>
  <si>
    <t>0B5-iztf28QNJUWxyZWg4amJLa2c</t>
  </si>
  <si>
    <t>https://docs.google.com/open?id=0B5-iztf28QNJUWxyZWg4amJLa2c</t>
  </si>
  <si>
    <t>Doc Created @ Wed Feb 25 2015 06:43:05 GMT-0500 (EST); Doc Merged @ Wed Feb 25 2015 06:43:05 GMT-0500 (EST)</t>
  </si>
  <si>
    <t xml:space="preserve"> Investigation of ELM heat flux footprints with the variation of ELM regime</t>
  </si>
  <si>
    <t>kaifu</t>
  </si>
  <si>
    <t>gan</t>
  </si>
  <si>
    <t>kgan@pppl.gov</t>
  </si>
  <si>
    <t>J-W. Ahn, T.Gray, R.Maingi, B. Wirth</t>
  </si>
  <si>
    <t>University of Tennessee</t>
  </si>
  <si>
    <t>Work on NSTX demonstrated that more ELM filaments are beneficial to broaden divertor heat flux profiles during the ELM and therefore to lower peak heat flux. The peeling nature of NSTX ELMs and its associated n-number (n=1-5) is expected to produce less filaments compared to other tokamaks where ELMs are normally considered to be peeling-ballooning and therefore a significant profile broadening is observed during the ELM. This XP aims to investigate ELM heat flux footprints as the ELM regime is varied, ie peeling, peeling-ballooning and ballooning, to check wetted area and peak heat flux. The primary knob to change the ELM regime is collisionality; lower collisionality toward more peeling side and higher collisionality toward more ballooning side. Variation of plasma shape (delta, etc) is also expected to change the ELM regime as it will change the location of stability boundary. Combining these two knobs is expected to vary the ELM regime effectively and enable to investigate its impact on ELM heat flux footprints.</t>
  </si>
  <si>
    <t>Fast IR diagnostic</t>
  </si>
  <si>
    <t>0B5-iztf28QNJS3RCSjFzWXM5dk0</t>
  </si>
  <si>
    <t>https://docs.google.com/open?id=0B5-iztf28QNJS3RCSjFzWXM5dk0</t>
  </si>
  <si>
    <t>Doc Created @ Sun Feb 22 2015 10:03:02 GMT-0500 (EST); Doc Merged @ Sun Feb 22 2015 10:03:02 GMT-0500 (EST); Email Sent @ Sun Feb 22 2015 10:03:07 GMT-0500 (EST)(kgan@pppl.gov,nstx-u@pppl.gov)</t>
  </si>
  <si>
    <t>0B5-iztf28QNJVkREd3VLTzFjQjQ</t>
  </si>
  <si>
    <t>https://docs.google.com/open?id=0B5-iztf28QNJVkREd3VLTzFjQjQ</t>
  </si>
  <si>
    <t>Doc Created @ Wed Feb 25 2015 06:43:14 GMT-0500 (EST); Doc Merged @ Wed Feb 25 2015 06:43:14 GMT-0500 (EST)</t>
  </si>
  <si>
    <t>Scoping study for core impurity reduction using HHFW</t>
  </si>
  <si>
    <t>anyone from RF, PC, or ASC group</t>
  </si>
  <si>
    <t>For a few shots on NSTX (2008-2009) there was some evidence of C impurity reduction in the plasma core of NBI heated H-modes when HHFW power was applied.  Central electron heating has also been observed on many other tokamaks to promote expulsion of high-Z and medium/low-Z impurities.  The purpose of this experiment is to scope such scenarios on NSTX-U, and if successful, pass this tool to the Particle Control task force and/or ASC for subsequent studies and inclusion in long-pulse scenarios. Target plasma conditions should have impurity accumulation problems - such as for Lithium ELM-free H-mode plasmas or in plasmas with high-Z accumulation.  Heating power (1-3MW), phasing (heating - 180 degree and CD - 90 degree), and gap scans (5-10cm?) would be performed to determine if there are conditions in which application of RF can reduce core impurities.</t>
  </si>
  <si>
    <t>A beam-heated low/no ELM frequency H-mode plasma with evidence of C or high-Z impurity accumulation, antenna conditioning sufficiently mature that the antenna is not a major source of impurities (since the goal is to reduce impurities).</t>
  </si>
  <si>
    <t>0B5-iztf28QNJeFhPYk9WRFFVX2c</t>
  </si>
  <si>
    <t>https://docs.google.com/open?id=0B5-iztf28QNJeFhPYk9WRFFVX2c</t>
  </si>
  <si>
    <t>Doc Created @ Sun Feb 22 2015 11:21:11 GMT-0500 (EST); Doc Merged @ Sun Feb 22 2015 11:21:12 GMT-0500 (EST); Email Sent @ Sun Feb 22 2015 11:21:17 GMT-0500 (EST)(mboyer@pppl.gov,nstx-u@pppl.gov)</t>
  </si>
  <si>
    <t>0B5-iztf28QNJbFhFSGl1SHdXbTQ</t>
  </si>
  <si>
    <t>https://docs.google.com/open?id=0B5-iztf28QNJbFhFSGl1SHdXbTQ</t>
  </si>
  <si>
    <t>Doc Created @ Wed Feb 25 2015 06:43:23 GMT-0500 (EST); Doc Merged @ Wed Feb 25 2015 06:43:24 GMT-0500 (EST)</t>
  </si>
  <si>
    <t>Combining High Non-Inductive Fraction Shot With Advanced Divertors</t>
  </si>
  <si>
    <t>15-3, 16-1</t>
  </si>
  <si>
    <t>Certainly it will be a high priority to develop scenarios with high non-inductive current fractions in FY15. And it can be anticipated that SF and radiative diverter experiments will be important, in both DivSOL. and maybe also ASC.
This experiment, which could be conducted towards the end of the run, attempts to combine these techniques as part of a first attempt towards the longer term goals of integrated core and edge physics at the end of the five year plan.
The exact details would be more clear much later in the run, when the individual elements have been better developed.</t>
  </si>
  <si>
    <t>gotta first get the individual parts working...</t>
  </si>
  <si>
    <t>0B5-iztf28QNJUS1RMnpyalRKclU</t>
  </si>
  <si>
    <t>https://docs.google.com/open?id=0B5-iztf28QNJUS1RMnpyalRKclU</t>
  </si>
  <si>
    <t>Doc Created @ Sun Feb 22 2015 14:20:13 GMT-0500 (EST); Doc Merged @ Sun Feb 22 2015 14:20:14 GMT-0500 (EST); Email Sent @ Sun Feb 22 2015 14:20:21 GMT-0500 (EST)(sgerhard@pppl.gov,nstx-u@pppl.gov)</t>
  </si>
  <si>
    <t>0B5-iztf28QNJa2hZMDRtTEdxcUk</t>
  </si>
  <si>
    <t>https://docs.google.com/open?id=0B5-iztf28QNJa2hZMDRtTEdxcUk</t>
  </si>
  <si>
    <t>Doc Created @ Wed Feb 25 2015 06:43:33 GMT-0500 (EST); Doc Merged @ Wed Feb 25 2015 06:43:33 GMT-0500 (EST)</t>
  </si>
  <si>
    <t xml:space="preserve"> Interaction of LGI with 3D fields</t>
  </si>
  <si>
    <t>Lithium Granule Injection (LGI) is a new tool to control ELMs and has demonstrated to raise ELM frequency by several factors and accordingly lower peak heat flux at DIII-D. The change of ELM type suggests that pedestal structure should have been also changed, which has not yet been looked into in detail. On the other hand, the pedestal change by applied 3D fields was investigated quite in detail in NSTX, which showed steepening of Te gradient in the pre-lithium condition but a flattening of Te and ne in the post-lithium condition. Therefore, interaction of LGI with 3D fields with amplitude below ELM triggering threshold could yield an interesting knob for ELM control. If RMP ELM suppression is successful in NSTX-U, LGI could be used as an effective ELM triggering tool. Collisionality scan will allow for the access to different pedestal regimes and will affect the interaction of pedestal with both LGI and 3D fields. Triangularity effectively moves the stability boundary and will change the reference ELM regime and is therefore expected to lead to different response to LGI.</t>
  </si>
  <si>
    <t>LGI, n=3 and/or n=2</t>
  </si>
  <si>
    <t>0B5-iztf28QNJWFFjVnJ5TENVaU0</t>
  </si>
  <si>
    <t>https://docs.google.com/open?id=0B5-iztf28QNJWFFjVnJ5TENVaU0</t>
  </si>
  <si>
    <t>Doc Created @ Sun Feb 22 2015 14:27:38 GMT-0500 (EST); Doc Merged @ Sun Feb 22 2015 14:27:39 GMT-0500 (EST); Email Sent @ Sun Feb 22 2015 14:27:46 GMT-0500 (EST)(kgan@pppl.gov,nstx-u@pppl.gov)</t>
  </si>
  <si>
    <t>0B5-iztf28QNJYnpwNHpGS3BxTW8</t>
  </si>
  <si>
    <t>https://docs.google.com/open?id=0B5-iztf28QNJYnpwNHpGS3BxTW8</t>
  </si>
  <si>
    <t>Doc Created @ Wed Feb 25 2015 06:45:15 GMT-0500 (EST); Doc Merged @ Wed Feb 25 2015 06:45:16 GMT-0500 (EST)</t>
  </si>
  <si>
    <t>Controlled Snowflake Studies</t>
  </si>
  <si>
    <t>ekolemen@pppl.gov</t>
  </si>
  <si>
    <t>Snowflake Milestone</t>
  </si>
  <si>
    <t>There is an XMP on the Snowflake control checkout. This will test the code is working, i.e. we will need lots of experimental time to get everything working. 
This experiment will develop the scenario and controlled snowflake. 4 half days are preferable.
1. Develop and test Snowflake control for lower
2. Develop and test Snowflake control for upper divertor. 
3. Develop and test Snowflake control for  combined upper and lower divertor. 
4. Test the snowflake divertor configuration control in snowflake-plus, snowflake-minus and exact snowflake. 
Aim 2: After the basic checkout, we need to compare the efit strike point locations with the 
locations calculated from the heat on the tiles. This may lead to different constraints on the EFIT reconstruction. 
5. Scan the distance between the x-points with the control. Note the plasma behavior. 
6. Scan the center of the x-points with the control. Note the plasma behavior. 
7. 3 different gas puffing (density levels) to check the effect of density variation.
8. 3 different NBI power to check the effect of density variation.
</t>
  </si>
  <si>
    <t xml:space="preserve">We will need  fully working rt-efit, all the divertor diagnostics to find the exact locations of the strike points. </t>
  </si>
  <si>
    <t>0B5-iztf28QNJdTBQc01BbnlWNjg</t>
  </si>
  <si>
    <t>https://docs.google.com/open?id=0B5-iztf28QNJdTBQc01BbnlWNjg</t>
  </si>
  <si>
    <t>Doc Created @ Sun Feb 22 2015 15:02:15 GMT-0500 (EST); Doc Merged @ Sun Feb 22 2015 15:02:15 GMT-0500 (EST); Email Sent @ Sun Feb 22 2015 15:02:20 GMT-0500 (EST)(ekolemen@pppl.gov,nstx-u@pppl.gov)</t>
  </si>
  <si>
    <t>0B5-iztf28QNJbmtsa0lYdUcyX0k</t>
  </si>
  <si>
    <t>https://docs.google.com/open?id=0B5-iztf28QNJbmtsa0lYdUcyX0k</t>
  </si>
  <si>
    <t>Doc Created @ Wed Feb 25 2015 06:45:26 GMT-0500 (EST); Doc Merged @ Wed Feb 25 2015 06:45:26 GMT-0500 (EST)</t>
  </si>
  <si>
    <t>deleted</t>
  </si>
  <si>
    <t>0B5-iztf28QNJTHh1S0RjZUFsakE</t>
  </si>
  <si>
    <t>https://docs.google.com/open?id=0B5-iztf28QNJTHh1S0RjZUFsakE</t>
  </si>
  <si>
    <t>Doc Created @ Sun Feb 22 2015 15:05:11 GMT-0500 (EST); Doc Merged @ Sun Feb 22 2015 15:05:12 GMT-0500 (EST); Email Sent @ Sun Feb 22 2015 15:05:17 GMT-0500 (EST)(allain@illinois.edu,nstx-u@pppl.gov)</t>
  </si>
  <si>
    <t>0B5-iztf28QNJaXdPS2VmVEpNaVE</t>
  </si>
  <si>
    <t>https://docs.google.com/open?id=0B5-iztf28QNJaXdPS2VmVEpNaVE</t>
  </si>
  <si>
    <t>Doc Created @ Wed Feb 25 2015 06:45:35 GMT-0500 (EST); Doc Merged @ Wed Feb 25 2015 06:45:36 GMT-0500 (EST)</t>
  </si>
  <si>
    <t>Compare alternative advanced divertor configurations: X-divertor, Snowflake</t>
  </si>
  <si>
    <t>IR(15-1) and get ready for R(16-1)</t>
  </si>
  <si>
    <t>Advanced diverters such as X-Divertor, Snowflake X-point divertor etc. can reduce the peak heat flux to PFC and help with operations at high radiation fractions needed at ST based future reactors. 
We would like to compare and contrast the two that we can achieve at NSTX-U: X-divertor and Snowflake divertor. While there is discussion about the difference between the two, we use the X-divertor as having a regular x-point and an extra x-point at very close the PFC. The distance between the two is far enough that the theoretical convection or other effects around the snowflake region is not applicable. We have a flux expansion which leads to heat flux reduction and a studied but not yet proved effect on the detachment threshold and radiation profile that may be more suitable for a reactor. 
We propose:
1. Make an X-divertor with an x-point at the PFC.
2. Scan the distance between the primary and secondary x-points.
3. Scan the density below, at and above the detachment threshold.
4. Compare the heat flux reduction during and in between ELMs, variation of the ELM behavior, detachment threshold and radiation profile for reactor relevant regimes. 
</t>
  </si>
  <si>
    <t>We need all the major divertor diagnostics and a functioning efit.</t>
  </si>
  <si>
    <t>0B5-iztf28QNJV0RseWczOVBlNWM</t>
  </si>
  <si>
    <t>https://docs.google.com/open?id=0B5-iztf28QNJV0RseWczOVBlNWM</t>
  </si>
  <si>
    <t>Doc Created @ Sun Feb 22 2015 15:18:31 GMT-0500 (EST); Doc Merged @ Sun Feb 22 2015 15:18:31 GMT-0500 (EST); Email Sent @ Sun Feb 22 2015 15:18:39 GMT-0500 (EST)(ekolemen@pppl.gov,nstx-u@pppl.gov)</t>
  </si>
  <si>
    <t>0B5-iztf28QNJendOWVR2X3lfTjQ</t>
  </si>
  <si>
    <t>https://docs.google.com/open?id=0B5-iztf28QNJendOWVR2X3lfTjQ</t>
  </si>
  <si>
    <t>Doc Created @ Wed Feb 25 2015 06:45:45 GMT-0500 (EST); Doc Merged @ Wed Feb 25 2015 06:45:46 GMT-0500 (EST)</t>
  </si>
  <si>
    <t>Radiation Control</t>
  </si>
  <si>
    <t>R(15-3) and R(16-1)</t>
  </si>
  <si>
    <t>
Measure the radiation at various location in the plasma (main, edge, ...) using bolometer channels. By using these real-time measurements, adjust the gas injection of various species (Argon, Neon, Deuterium,...) to keep power exhaust, detachment, and many other parameters at desired values.
Develop and test the radiation control.
Use it to control power flux into the divertor, divertor
temperature and the power load as estimated by the
bolometric calculations of main chamber and divertor radiation	
This feedback has been successfully used at Asdex-Upgrade with great utility. (See, A. Kallenbach et al 2012 Nucl. Fusion 52 122003 and reference within)
PCS code upgrade and 1/2-1 day of experimental time to study the physics.</t>
  </si>
  <si>
    <t>This experiment assumes the bolometers are connected to PCS and working.</t>
  </si>
  <si>
    <t>0B5-iztf28QNJTHFWU2hOZTBrUnc</t>
  </si>
  <si>
    <t>https://docs.google.com/open?id=0B5-iztf28QNJTHFWU2hOZTBrUnc</t>
  </si>
  <si>
    <t>Doc Created @ Sun Feb 22 2015 15:42:50 GMT-0500 (EST); Doc Merged @ Sun Feb 22 2015 15:42:50 GMT-0500 (EST); Email Sent @ Sun Feb 22 2015 15:42:55 GMT-0500 (EST)(ekolemen@pppl.gov,nstx-u@pppl.gov)</t>
  </si>
  <si>
    <t>0B5-iztf28QNJcUhHN1ZBdkQtVFE</t>
  </si>
  <si>
    <t>https://docs.google.com/open?id=0B5-iztf28QNJcUhHN1ZBdkQtVFE</t>
  </si>
  <si>
    <t>Doc Created @ Wed Feb 25 2015 06:45:55 GMT-0500 (EST); Doc Merged @ Wed Feb 25 2015 06:45:55 GMT-0500 (EST)</t>
  </si>
  <si>
    <t>SOL Width Scaling: Goldston's Heuristic Drift Model vs Critical Pressure Gradient Model</t>
  </si>
  <si>
    <t xml:space="preserve">Initial results show NSTX data broadly fits the predictions of the Goldston's Heuristic Drift Model. However, we know that many things scale together in plasma physics and the shots at NSXT most of the time ran in a similar way due to operational convenience. In order the properly check the theory, we will do "orthogonal" scans, i.e. the parameters that the drift model is lightly dependent but have large effects on the alternative Critical Pressure Gradient Model.
It is hard to find these orthogonal scans but the following will give the needed variation
1. Shape variation: 
a) Triangularity scan (not supposed to change the Goldston model). We can try to push the triangularity negative (as far as possible with pcs). Document the effect on lambda_q and compare with the discussed models. 
2. Density scans
3. NBI power scan
Reference:
"Scaling of the Divertor Heat Flux Width in the DIII-D Tokamak", Makowski et al.
"Heuristic drift-based model of the power scrape-off width in low-gas-puff H-mode tokamaks", Goldston
 </t>
  </si>
  <si>
    <t xml:space="preserve">Good edge thomson and heat on tile measurements </t>
  </si>
  <si>
    <t>0B5-iztf28QNJb0lpQlZ1RGp2RWs</t>
  </si>
  <si>
    <t>https://docs.google.com/open?id=0B5-iztf28QNJb0lpQlZ1RGp2RWs</t>
  </si>
  <si>
    <t>Doc Created @ Sun Feb 22 2015 15:52:55 GMT-0500 (EST); Doc Merged @ Sun Feb 22 2015 15:52:56 GMT-0500 (EST); Email Sent @ Sun Feb 22 2015 15:53:03 GMT-0500 (EST)(ekolemen@pppl.gov,nstx-u@pppl.gov)</t>
  </si>
  <si>
    <t>0B5-iztf28QNJX0IzcHhUeEtaMmM</t>
  </si>
  <si>
    <t>https://docs.google.com/open?id=0B5-iztf28QNJX0IzcHhUeEtaMmM</t>
  </si>
  <si>
    <t>Doc Created @ Wed Feb 25 2015 06:46:04 GMT-0500 (EST); Doc Merged @ Wed Feb 25 2015 06:46:05 GMT-0500 (EST)</t>
  </si>
  <si>
    <t>S parameter under 3D perturbations</t>
  </si>
  <si>
    <t xml:space="preserve">Initial study of experiments at DIII-D show the sol S parameter (the Gaussian width or the diffusion part of the sol fit) varies with 3D perturbations. Stochastization  of the edge may be responsible for the variation. A more interesting observation from the RMP ELM suppression experiment was the big jump in S during ELM suppression phases. Author’s theory is there is connection between the diffusion does not allow the formation of very high pedestal needed for H-mode crash. 
This experiment will examine 3d perturbation with the sol in ELMy and ELM free (Lithium) discharges. The main goal would be to try to get to the ELM suppression or mitigation regime with the RMP. Study the ELM threshold with 3D coil. Connect the S and pedestal properties. 
1. Scan 3D coil current for  ELMy and ELM free (Lithium) discharges
2. Collect S variation with respect to 3D current. Most importantly during the ELMy to RMP ELM suppressed (or mitigated) regime. </t>
  </si>
  <si>
    <t>Good Thomson pedestal measurement. Good measurement of the heat flux on tiles.</t>
  </si>
  <si>
    <t>0B5-iztf28QNJNC1UanJZeTdfcHc</t>
  </si>
  <si>
    <t>https://docs.google.com/open?id=0B5-iztf28QNJNC1UanJZeTdfcHc</t>
  </si>
  <si>
    <t>Doc Created @ Sun Feb 22 2015 16:15:06 GMT-0500 (EST); Doc Merged @ Sun Feb 22 2015 16:15:07 GMT-0500 (EST); Email Sent @ Sun Feb 22 2015 16:15:13 GMT-0500 (EST)(ekolemen@pppl.gov,nstx-u@pppl.gov)</t>
  </si>
  <si>
    <t>0B5-iztf28QNJaFZSM3RlQXczM2s</t>
  </si>
  <si>
    <t>https://docs.google.com/open?id=0B5-iztf28QNJaFZSM3RlQXczM2s</t>
  </si>
  <si>
    <t>Doc Created @ Wed Feb 25 2015 06:46:24 GMT-0500 (EST); Doc Merged @ Wed Feb 25 2015 06:46:24 GMT-0500 (EST)</t>
  </si>
  <si>
    <t>RMP NTM interaction</t>
  </si>
  <si>
    <t>For an NTM to cause disruption, a seed island has to be formed and be able to grow. 
Current understanding of the NTM formation based on delta prime calculations have not given us much insight into prediction or understanding of the seed island formation. Since there are always some disturbances on the plasma (saw teeth, ELMs etc.) that can in theory lead to seed islands, it is important to understand how to keep the seed islands below the critical threshold. 
We propose to study and understand this process using the tools available at NSTX-U. 
This proposal is to place the q=2 close to the edge (a q95~2.1 plasma), then turn on the RMP to stochasticize the edge. Stochastic region may make rational surfaces to form and limit the seed island formation or size  (and possibly delay NTM growth if it were to occur). 
1. We will develop a q95~2.1 scenario. 
2. Turn on the 3D coils at different current levels and mode numbers. 
3. Compare the NTM seed island occurrence, growth conditions with and without RMP.</t>
  </si>
  <si>
    <t xml:space="preserve">Good mirnov signals. </t>
  </si>
  <si>
    <t>0B5-iztf28QNJTkxWZlJLS3RFSUk</t>
  </si>
  <si>
    <t>https://docs.google.com/open?id=0B5-iztf28QNJTkxWZlJLS3RFSUk</t>
  </si>
  <si>
    <t>Doc Created @ Sun Feb 22 2015 16:31:28 GMT-0500 (EST); Doc Merged @ Sun Feb 22 2015 16:31:28 GMT-0500 (EST); Email Sent @ Sun Feb 22 2015 16:31:34 GMT-0500 (EST)(ekolemen@pppl.gov,nstx-u@pppl.gov)</t>
  </si>
  <si>
    <t>0B5-iztf28QNJZWNFWjBjUjVqZU0</t>
  </si>
  <si>
    <t>https://docs.google.com/open?id=0B5-iztf28QNJZWNFWjBjUjVqZU0</t>
  </si>
  <si>
    <t>Doc Created @ Wed Feb 25 2015 06:46:37 GMT-0500 (EST); Doc Merged @ Wed Feb 25 2015 06:46:37 GMT-0500 (EST)</t>
  </si>
  <si>
    <t>Real-time adaptive EFC</t>
  </si>
  <si>
    <t>Implement and test real-time adaptive EFC at NSTX-U.
Advantage: 
1. During ramp up and ramp down, the code will adjust automatically.
2. As the plasma evolves or is controlled (q-profile), the EFC will adjust
2. No hand tuning necessary.
Previous work:
We implemented real-time adaptive EFC at DIII-D. This algorithm uses the surf-mn, 3D coil effects and optimization for  n=1  EFC. 
We will implement a similar algorithm at NSTX-U.
</t>
  </si>
  <si>
    <t xml:space="preserve">Need to incorporate the DIII-D PCS code into NSTX-U code. Need testing in XMP.
Note: This is an XMP proposal. I hope I am in the correct place. </t>
  </si>
  <si>
    <t>0B5-iztf28QNJcHdQa0MyMGh1Vk0</t>
  </si>
  <si>
    <t>https://docs.google.com/open?id=0B5-iztf28QNJcHdQa0MyMGh1Vk0</t>
  </si>
  <si>
    <t>Doc Created @ Sun Feb 22 2015 16:40:49 GMT-0500 (EST); Doc Merged @ Sun Feb 22 2015 16:40:50 GMT-0500 (EST); Email Sent @ Sun Feb 22 2015 16:40:58 GMT-0500 (EST)(ekolemen@pppl.gov,nstx-u@pppl.gov)</t>
  </si>
  <si>
    <t>0B5-iztf28QNJZTNEX1FGdi00NkU</t>
  </si>
  <si>
    <t>https://docs.google.com/open?id=0B5-iztf28QNJZTNEX1FGdi00NkU</t>
  </si>
  <si>
    <t>Doc Created @ Wed Feb 25 2015 06:46:49 GMT-0500 (EST); Doc Merged @ Wed Feb 25 2015 06:46:49 GMT-0500 (EST)</t>
  </si>
  <si>
    <t>Real-time adaptive EFC and ELM Control</t>
  </si>
  <si>
    <t>Implement and test real-time adaptive EFC at NSTX-U.
Advantage: 
1. During ramp up and ramp down, the code will adjust automatically.
2. As the plasma evolves or is controlled (q-profile), the EFC will adjust
2. No hand tuning necessary.
Implement and test real-time adaptive ELM Control with 3D coils at NSTX-U.
-Same base algorithm with different outputs. 
Previous work:
We implemented real-time adaptive EFC (and ELM control) at DIII-D. This algorithm uses the surf-mn, 3D coil effects and optimization for  n=1  EFC (n=2 for ELM control).
We will implement a similar algorithm at NSTX-U.</t>
  </si>
  <si>
    <t>0B5-iztf28QNJZVNHYzh0aVR4Y2s</t>
  </si>
  <si>
    <t>https://docs.google.com/open?id=0B5-iztf28QNJZVNHYzh0aVR4Y2s</t>
  </si>
  <si>
    <t>Doc Created @ Sun Feb 22 2015 16:41:11 GMT-0500 (EST); Doc Merged @ Sun Feb 22 2015 16:41:12 GMT-0500 (EST); Email Sent @ Sun Feb 22 2015 16:41:20 GMT-0500 (EST)(ekolemen@pppl.gov,nstx-u@pppl.gov)</t>
  </si>
  <si>
    <t>0B5-iztf28QNJVml5dzU4UDU4QXc</t>
  </si>
  <si>
    <t>https://docs.google.com/open?id=0B5-iztf28QNJVml5dzU4UDU4QXc</t>
  </si>
  <si>
    <t>Doc Created @ Wed Feb 25 2015 06:47:02 GMT-0500 (EST); Doc Merged @ Wed Feb 25 2015 06:47:03 GMT-0500 (EST)</t>
  </si>
  <si>
    <t>Expand the operational limit by real-time adaptive EFC</t>
  </si>
  <si>
    <t>All</t>
  </si>
  <si>
    <t>NSTX-U will need to develop good fiducial shots that people can load and adjust to make the science experiment of choice.This proposal is to develop a fiducial shot with rt-adaptive EFC. All the experiments will have the best EFC by loading this shot (no need for EFC programming).
Advantage: 
1. During ramp up and ramp down, the code will adjust automatically.
2. As the plasma evolves or is controlled (q-profile), the EFC will adjust
2. No hand tuning necessary.
After the algorithm is checked out in xmp, this experiment will develop the fiducial with rt-adaptive EFC.</t>
  </si>
  <si>
    <t>XMP for adaptive EFC</t>
  </si>
  <si>
    <t>0B5-iztf28QNJS1Y2azM1YlltWFk</t>
  </si>
  <si>
    <t>https://docs.google.com/open?id=0B5-iztf28QNJS1Y2azM1YlltWFk</t>
  </si>
  <si>
    <t>Doc Created @ Sun Feb 22 2015 16:52:38 GMT-0500 (EST); Doc Merged @ Sun Feb 22 2015 16:52:39 GMT-0500 (EST); Email Sent @ Sun Feb 22 2015 16:52:47 GMT-0500 (EST)(ekolemen@pppl.gov,nstx-u@pppl.gov)</t>
  </si>
  <si>
    <t>0B5-iztf28QNJeHVQMkgtRThfM3M</t>
  </si>
  <si>
    <t>https://docs.google.com/open?id=0B5-iztf28QNJeHVQMkgtRThfM3M</t>
  </si>
  <si>
    <t>Doc Created @ Wed Feb 25 2015 06:47:15 GMT-0500 (EST); Doc Merged @ Wed Feb 25 2015 06:47:16 GMT-0500 (EST)</t>
  </si>
  <si>
    <t>Adaptive ELM control (Can RMP ELM Control be reliably used in ITER (or a reactor)?)</t>
  </si>
  <si>
    <t>he conditions for RMP ELM suppression has been characterized by many parameters at various machines. The main control parameter is the coil current. The ELM suppression region has been characterized by P-B stability criteria Edge current density and Normalized Pressure gradient (Evans, "RMP ELM suppression in DIII-D plasmas with ITER similar shapes and collisionalities", NF;Schaffer, "ELM Control by RMP*  Physics Basis, Concepts for ITER, and Advanced Technique", Snyder ) . In addition, simpler q95 and toroidal rotation scaling and suppression regions are identified. However, in the experiments the ELM suppressed region is only achieved after doing current scans. This ELM suppression is not effective for the whole shot but only for a part of the flat-top. This raises the question: "Is it possible to persistently control the ELMs with RMP?". This is a very critical question for reactor design. For energy producing reactors, ELMs can not be tolerated. Going in and out of ELM suppression is not an option. This issue for a reactor is more complicated because, the diagnostic capabilities needed for real-time kinetic EFIT might not be available ruling out the use of P-B stability (ELITE) type calculations. 
Plan: Use the adaptive ELM control (using real-time surfmn) to control the 3D coils to obtain ELM suppression throughout the shot including ramp up and ramp down. Experiments at DIII-D suggests that kink-resonant response is the main mechanism. We use the maximization of this response during the shots. 
This will be the first cut control. We will collect data for the parameters we can use to understand the boundaries of the ELM suppression phase: a simplified stability boundary that is function of q95, Ip. T_pedestal, ne_pedestal, etc.</t>
  </si>
  <si>
    <t>We need to see if ELM suppression with 3D coils is viable at NSTX-U.</t>
  </si>
  <si>
    <t>0B5-iztf28QNJcDZ0UnRJNUlDeU0</t>
  </si>
  <si>
    <t>https://docs.google.com/open?id=0B5-iztf28QNJcDZ0UnRJNUlDeU0</t>
  </si>
  <si>
    <t>Doc Created @ Sun Feb 22 2015 17:04:36 GMT-0500 (EST); Doc Merged @ Sun Feb 22 2015 17:04:37 GMT-0500 (EST); Email Sent @ Sun Feb 22 2015 17:04:43 GMT-0500 (EST)(ekolemen@pppl.gov,nstx-u@pppl.gov)</t>
  </si>
  <si>
    <t>0B5-iztf28QNJR2toSmtEaUpFdVE</t>
  </si>
  <si>
    <t>https://docs.google.com/open?id=0B5-iztf28QNJR2toSmtEaUpFdVE</t>
  </si>
  <si>
    <t>Doc Created @ Wed Feb 25 2015 06:47:29 GMT-0500 (EST); Doc Merged @ Wed Feb 25 2015 06:47:29 GMT-0500 (EST)</t>
  </si>
  <si>
    <t>3D coil based BetaN control instead of NBI based BetaN control</t>
  </si>
  <si>
    <t>Background: 3D Coil BetaN was developed and tested at DIII-D by the author. This allows obtaining a given BetaN without NBI modulation. 
Need: NBI modulation for BetaN feedback induces major disturbance on the plasma (MW turn on offs every 20 ms) and may lead to instabilities to form below the ideal stability limit. This was observed at high inductive scenario development at DIII-D. 3D coil control enable more quite and stable profiles with its dexterous control property. Using this alternative may increase the operating BetaN limit.
Instead of modulating the NBI, change the 3D coil current to change the TauE and thus the BetaN. 
Outcome: BetaN control that all scenarios that 3D coils vary confinement. 
Experimental test:
1. Study the 3D coil BetaN control in various scenarios.
2. Turn the 3D-coils (think of this as putting all the breaks on) on full to start at low betaN. At the same time turn on all the NBI we want (think of pressing the gas pedal full on). Then, regulate the 3D coil current down to ramp up the BetaN to the desired value.
</t>
  </si>
  <si>
    <t>3D coil based BetaN control development at PCS.</t>
  </si>
  <si>
    <t>0B5-iztf28QNJY3pDOHdJSC14aWc</t>
  </si>
  <si>
    <t>https://docs.google.com/open?id=0B5-iztf28QNJY3pDOHdJSC14aWc</t>
  </si>
  <si>
    <t>Doc Created @ Sun Feb 22 2015 17:14:44 GMT-0500 (EST); Doc Merged @ Sun Feb 22 2015 17:14:45 GMT-0500 (EST); Email Sent @ Sun Feb 22 2015 17:14:51 GMT-0500 (EST)(ekolemen@pppl.gov,nstx-u@pppl.gov)</t>
  </si>
  <si>
    <t>0B5-iztf28QNJZkVOVy1KcFg3aWs</t>
  </si>
  <si>
    <t>https://docs.google.com/open?id=0B5-iztf28QNJZkVOVy1KcFg3aWs</t>
  </si>
  <si>
    <t>Doc Created @ Wed Feb 25 2015 06:47:42 GMT-0500 (EST); Doc Merged @ Wed Feb 25 2015 06:47:42 GMT-0500 (EST)</t>
  </si>
  <si>
    <t>Rotation Control using 3D coils</t>
  </si>
  <si>
    <t>Background: NTV effect and was studied for NSTX by the author and rotation controls were developed. rtVPhi was developed for diagnostic. Due to the   beak down of the NSTX, the rotation control was not implemented.
Aim: Implement and test the rotation control using 3D coils. Later, combine with the NBI system to enable NBI+3D rotation control.</t>
  </si>
  <si>
    <t xml:space="preserve">rtVPhi measurement in PCS and PCS code development. </t>
  </si>
  <si>
    <t>0B5-iztf28QNJenplVFdIZmcwbVk</t>
  </si>
  <si>
    <t>https://docs.google.com/open?id=0B5-iztf28QNJenplVFdIZmcwbVk</t>
  </si>
  <si>
    <t>Doc Created @ Sun Feb 22 2015 17:45:53 GMT-0500 (EST); Doc Merged @ Sun Feb 22 2015 17:45:53 GMT-0500 (EST); Email Sent @ Sun Feb 22 2015 17:45:58 GMT-0500 (EST)(ekolemen@pppl.gov,nstx-u@pppl.gov)</t>
  </si>
  <si>
    <t>0B5-iztf28QNJeVh1NjBVSXRIMkU</t>
  </si>
  <si>
    <t>https://docs.google.com/open?id=0B5-iztf28QNJeVh1NjBVSXRIMkU</t>
  </si>
  <si>
    <t>Doc Created @ Wed Feb 25 2015 06:47:54 GMT-0500 (EST); Doc Merged @ Wed Feb 25 2015 06:47:55 GMT-0500 (EST)</t>
  </si>
  <si>
    <t>Full shape control development</t>
  </si>
  <si>
    <t xml:space="preserve">Develop the full isoflux control for Boundary, X-point, strike points. There is a MIMO (multi-input-multi-output) part to this control but we will start with a mostly SISO control. 
Note: This might already be in some XMP or proposed somewhere else. I am not sure. </t>
  </si>
  <si>
    <t>Relay feedback control tuning would be very useful.</t>
  </si>
  <si>
    <t>0B5-iztf28QNJV0NLWVhSWkRhWWc</t>
  </si>
  <si>
    <t>https://docs.google.com/open?id=0B5-iztf28QNJV0NLWVhSWkRhWWc</t>
  </si>
  <si>
    <t>Doc Created @ Sun Feb 22 2015 17:51:39 GMT-0500 (EST); Doc Merged @ Sun Feb 22 2015 17:51:39 GMT-0500 (EST); Email Sent @ Sun Feb 22 2015 17:51:46 GMT-0500 (EST)(ekolemen@pppl.gov,nstx-u@pppl.gov)</t>
  </si>
  <si>
    <t>0B5-iztf28QNJUHg4c3NSazhpcEU</t>
  </si>
  <si>
    <t>https://docs.google.com/open?id=0B5-iztf28QNJUHg4c3NSazhpcEU</t>
  </si>
  <si>
    <t>Doc Created @ Wed Feb 25 2015 06:48:07 GMT-0500 (EST); Doc Merged @ Wed Feb 25 2015 06:48:08 GMT-0500 (EST)</t>
  </si>
  <si>
    <t xml:space="preserve">Characterizing the SOL Losses of HHFW Power in H-Mode Plasmas </t>
  </si>
  <si>
    <t>J. C. Hosea, G. Taylor, N. Bertelli, J. R. Wilson, C. K. Phillips, J. B. Caughman, S. Diem, C. Lau, J.-W. Ahn, T. K. Grey</t>
  </si>
  <si>
    <t>R(16-3)</t>
  </si>
  <si>
    <t>This experiment will study SOL losses of HHFW power in H-mode plasmas and will quantify the RF-induced heat flux to the divertor regions.  This will be valuable for both future HHFW experiments and modeling, as we will then know the amount of power truly coupled to the core. In particular, the experiment will address the following questions: (i) How much heat is delivered to the divertor regions underneath the spirals, and does this account for the HHFW power missing from the core plasma? (ii) Is RF rectification under the spiral responsible for the heat flux there, or is SOL plasma being volumetrically heated and streaming along field lines to the spiral? (iii) What configurations optimize HHFW coupling to the core?  Three new diagnostics: a wide-angle infrared (IR) camera, a radial array of Langmuir probes equipped with coaxial cables and RF electronics, and the upgraded ORNL SOL reflectometer, will greatly expand our understanding of the loss process(es).
The shot plan calls for scans in antenna phasing, toroidal magnetic field, and HHFW power.  The phase scan will likely occur first; the antenna phasing has long been known to effect the core heating efficiency, but, with the IR camera measurements, we can compare the trend in core heating against the SOL losses of HHFW power. Based on camera images of the spiral, one (or more) phase for which the spiral appears brightly will be selected for a power scan. Finally, a toroidal-field scan will be performed at fixed phase to see if the heating efficiency continues to improve as the toroidal field increases, which would give significant prospect to successfully coupling HFHW power to NB-heated H-modes.  
Time permitting, we may attempt to put the divertor in a radiative configuration; if successful, this will determine whether volumetric SOL heating is occurring, as the spiral intensity would presumably drop in a radiative configuration.
</t>
  </si>
  <si>
    <t xml:space="preserve">This XP does not need to be run before lithium, but the XMP for antenna conditioning does request pre-lithium run time, so it may make sense to run this XP immediately afterwards. If run after lithium conditioning has started, we may request a lithium deposition to maintain good RF coupling. This experiment requires rtEFIT isoflux control for the outer gap.  The wide-angle IR camera view of the lower divertor is critical, as are the RF Langmuir probes at Bay J. </t>
  </si>
  <si>
    <t>0B5-iztf28QNJTERhVGdNMXpnT2s</t>
  </si>
  <si>
    <t>https://docs.google.com/open?id=0B5-iztf28QNJTERhVGdNMXpnT2s</t>
  </si>
  <si>
    <t>Doc Created @ Sun Feb 22 2015 18:07:40 GMT-0500 (EST); Doc Merged @ Sun Feb 22 2015 18:07:41 GMT-0500 (EST); Email Sent @ Sun Feb 22 2015 18:07:47 GMT-0500 (EST)(rperkins@pppl.gov,nstx-u@pppl.gov)</t>
  </si>
  <si>
    <t>0B5-iztf28QNJb0ZPYi1pT001Rlk</t>
  </si>
  <si>
    <t>https://docs.google.com/open?id=0B5-iztf28QNJb0ZPYi1pT001Rlk</t>
  </si>
  <si>
    <t>Doc Created @ Wed Feb 25 2015 06:48:21 GMT-0500 (EST); Doc Merged @ Wed Feb 25 2015 06:48:21 GMT-0500 (EST)</t>
  </si>
  <si>
    <t xml:space="preserve"> Core, Edge and Divertor Radiation variation with respect to different species and gas injection locations</t>
  </si>
  <si>
    <t>Background: The combination and maximization of main chamber and divertor radiation enables maximization of the power handling capability of a tokamak. This is important since &gt;75% radiative fractions are needed for fusion power plants to achieve the required heat flux at the divertor. 
Radiation profile of different impurities differ. It is projected that a combination of high and low Z impurities are needed to optimize radiation from edge and divertor without effecting the core performance. Gas injection location is another important parameter that effect the radiation distribution. Also, recent DIII-D experiments hint that gas injection location is detachment threshold. 
Experiment:
We will need a sophisticated  algorithm to decide which impurity specie ratio is needed at what time and to regulate the radiation profile at all time. This will be a first attempt to reach this aim. 
1. Vary the impurity species (Argon, Neon, etc.). 
	- Modulate the inputs to calculate the radiation profiles change in time, how long the delay in gas penetration. 
2. Vary the gas injection locations.
	- Gas flow delay and time response calculation from different locations.
Aim: 
Collect data needed to optimize the radiation profile. A first cut manual optimization will also be performed if time permits. The collected data will be used to develop the radiation control.</t>
  </si>
  <si>
    <t>Good bolometer data.</t>
  </si>
  <si>
    <t>0B5-iztf28QNJam9lSWZCMlBnaGc</t>
  </si>
  <si>
    <t>https://docs.google.com/open?id=0B5-iztf28QNJam9lSWZCMlBnaGc</t>
  </si>
  <si>
    <t>Doc Created @ Sun Feb 22 2015 18:23:32 GMT-0500 (EST); Doc Merged @ Sun Feb 22 2015 18:23:33 GMT-0500 (EST); Email Sent @ Sun Feb 22 2015 18:23:39 GMT-0500 (EST)(ekolemen@pppl.gov,nstx-u@pppl.gov)</t>
  </si>
  <si>
    <t>0B5-iztf28QNJRFhYbTlWUDVSQU0</t>
  </si>
  <si>
    <t>https://docs.google.com/open?id=0B5-iztf28QNJRFhYbTlWUDVSQU0</t>
  </si>
  <si>
    <t>Detachment comparison study for Snowflake, X-divertor, Standard Divertor and long/short divertor leg</t>
  </si>
  <si>
    <t>Eldon</t>
  </si>
  <si>
    <t>eldond@fusion.gat.com</t>
  </si>
  <si>
    <t>Background: AT based fusion reactors will need to operate with detached divertors in order to manage heat flux to the target plates. In modern tokamaks, detachment is associated with degradation of core confinement and other challenges. Better understanding of detachment in advanced divertor configurations could help optimize an integrated core/divertor solution by, for example, finding which divertor detaches with the least effect on core performance.
We have previously studied detachment on DIII-D for L- and H-mode discharges. We are currently working on using the SOLPS model to study detachment physics for cases of varying divertor leg length and for various advanced divertor configurations. 
Experiment:
1. Perform density scans in standard divertor with long and short legs, snowflake, and X-divertor configurations to find detachment thresholds for each case.
2. Vary density around the detachment thresholds to study pre-detachment, marginal detachment, and detachment with extra density
3. Characterize divertor and pedestal/core parameters in each case
4. Collect data to compare to DIII-D experiments and SOLPS results
</t>
  </si>
  <si>
    <t xml:space="preserve">Functioning and calibrated divertor diagnostics. </t>
  </si>
  <si>
    <t>0B5-iztf28QNJNW1KNjRiak0tV0E</t>
  </si>
  <si>
    <t>https://docs.google.com/open?id=0B5-iztf28QNJNW1KNjRiak0tV0E</t>
  </si>
  <si>
    <t>Doc Created @ Sun Feb 22 2015 18:49:14 GMT-0500 (EST); Doc Merged @ Sun Feb 22 2015 18:49:15 GMT-0500 (EST); Email Sent @ Sun Feb 22 2015 18:49:20 GMT-0500 (EST)(eldond@fusion.gat.com,nstx-u@pppl.gov)</t>
  </si>
  <si>
    <t>0B5-iztf28QNJNExBUkJjb3hZaVE</t>
  </si>
  <si>
    <t>https://docs.google.com/open?id=0B5-iztf28QNJNExBUkJjb3hZaVE</t>
  </si>
  <si>
    <t>Doc Created @ Wed Feb 25 2015 06:48:39 GMT-0500 (EST); Doc Merged @ Wed Feb 25 2015 06:48:40 GMT-0500 (EST)</t>
  </si>
  <si>
    <t>LGI Control</t>
  </si>
  <si>
    <t>IR(15-1)</t>
  </si>
  <si>
    <t xml:space="preserve">Background: LGI connection to PCS may possibly be implemented in fy15.  
Experiment: Test the LGI control from PCS
1. Turn the LGI on and off during a shot with different modulation rate.
2. Vary the frequency of LGI from PCS. </t>
  </si>
  <si>
    <t xml:space="preserve"> LGI connection to PCS</t>
  </si>
  <si>
    <t>0B5-iztf28QNJQk1RUXRZYzk2MGM</t>
  </si>
  <si>
    <t>https://docs.google.com/open?id=0B5-iztf28QNJQk1RUXRZYzk2MGM</t>
  </si>
  <si>
    <t>Doc Created @ Sun Feb 22 2015 19:05:15 GMT-0500 (EST); Doc Merged @ Sun Feb 22 2015 19:05:16 GMT-0500 (EST); Email Sent @ Sun Feb 22 2015 19:05:22 GMT-0500 (EST)(ekolemen@pppl.gov,nstx-u@pppl.gov)</t>
  </si>
  <si>
    <t>0B5-iztf28QNJUjVoT0pGQnd0Y2M</t>
  </si>
  <si>
    <t>https://docs.google.com/open?id=0B5-iztf28QNJUjVoT0pGQnd0Y2M</t>
  </si>
  <si>
    <t>Doc Created @ Wed Feb 25 2015 06:48:49 GMT-0500 (EST); Doc Merged @ Wed Feb 25 2015 06:48:49 GMT-0500 (EST)</t>
  </si>
  <si>
    <t>Vertical growth rate  and maximum controllable displacement for NSTX-U</t>
  </si>
  <si>
    <t>Background: The author experimentally calculate the NSTX VDE growth rate for varying kappa and li. He compared the results to corsica and tokays simulations and made projections for the NSTX-U. The results were presented at the 2010 IAEA conference. These calculations are very important when designing FNSF-ST and fusion reactors based on STs. We need to check the results and update the codes for projections. 
Aim of the experiment: Calculate the growth rate and the maximum controllable displacement for the NSTX-U for varying kappa and li. Compare to the predictions.
Experiment: Repeat the 2009 experiments on maximum controllable displacement in varying kappa and li. 
1. Turn off the vertical control at flattop. 
2. Turn it back on after a certain time delay. 
3. Obtain the vertical motion curves, oscillation curves and growth rates.  
</t>
  </si>
  <si>
    <t>none. It can be run during startup.</t>
  </si>
  <si>
    <t>0B5-iztf28QNJQUZHVEpraVJxVDA</t>
  </si>
  <si>
    <t>https://docs.google.com/open?id=0B5-iztf28QNJQUZHVEpraVJxVDA</t>
  </si>
  <si>
    <t>Doc Created @ Sun Feb 22 2015 19:27:57 GMT-0500 (EST); Doc Merged @ Sun Feb 22 2015 19:27:57 GMT-0500 (EST); Email Sent @ Sun Feb 22 2015 19:28:04 GMT-0500 (EST)(ekolemen@pppl.gov,nstx-u@pppl.gov)</t>
  </si>
  <si>
    <t>0B5-iztf28QNJVklvRnoxRmVaTk0</t>
  </si>
  <si>
    <t>https://docs.google.com/open?id=0B5-iztf28QNJVklvRnoxRmVaTk0</t>
  </si>
  <si>
    <t>Doc Created @ Wed Feb 25 2015 06:49:13 GMT-0500 (EST); Doc Merged @ Wed Feb 25 2015 06:49:14 GMT-0500 (EST)</t>
  </si>
  <si>
    <t>EHO 3D coil interaction (possible control)</t>
  </si>
  <si>
    <t>EHO Coil decision</t>
  </si>
  <si>
    <t>Background:
EHO was observed at NSTX and DIII-D. EHOs have few kHz frequency and it may be possible to resonantly interact with them using 3D coils with the same frequency and n-mode number (possibly with multiples). DIII-D EHO was shown to interact with I-coils with the same frequency.
There is a possible EHO coil upgrade for NSTX-U in the 5 year plan. In order to make a decision, we want to obtain EHO and vary the 3D coils to interact (possibly control) EHO. Unfortunately NSTX EHO was higher n-number than what the 3D coils can achieve. However, it is possible that with longer pulses we can achieve EHO with lower n-number like DIII-D or it may be possible to interact with EHO with lower n-number 3D frequency.
Experiment:
1. Try to interact with EHO using 3D coils with same frequency.
2. If EHO has low n-number try the same for 3D coils. If not, vary the n-number of the 3D coils to see if we can interact with different n-number (for example n=2 interaction with n=4)</t>
  </si>
  <si>
    <t>0B5-iztf28QNJRzZTaV91SjRkWnM</t>
  </si>
  <si>
    <t>https://docs.google.com/open?id=0B5-iztf28QNJRzZTaV91SjRkWnM</t>
  </si>
  <si>
    <t>Doc Created @ Sun Feb 22 2015 19:54:23 GMT-0500 (EST); Doc Merged @ Sun Feb 22 2015 19:54:24 GMT-0500 (EST); Email Sent @ Sun Feb 22 2015 19:54:30 GMT-0500 (EST)(ekolemen@pppl.gov,nstx-u@pppl.gov)</t>
  </si>
  <si>
    <t>0B5-iztf28QNJd29kbHplZF9DS1E</t>
  </si>
  <si>
    <t>https://docs.google.com/open?id=0B5-iztf28QNJd29kbHplZF9DS1E</t>
  </si>
  <si>
    <t>Doc Created @ Wed Feb 25 2015 06:49:26 GMT-0500 (EST); Doc Merged @ Wed Feb 25 2015 06:49:27 GMT-0500 (EST)</t>
  </si>
  <si>
    <t>Investigating small-scale edge turbulence with GPI</t>
  </si>
  <si>
    <t>Noah</t>
  </si>
  <si>
    <t>Mandell</t>
  </si>
  <si>
    <t>nmandell@pppl.gov</t>
  </si>
  <si>
    <t>Stewart Zweben, Walter Guttenfelder, Yang Ren, Steve Sabbagh</t>
  </si>
  <si>
    <t>●Measure fluctuation spectra of edge turbulence from GPI movies
●Examine how edge turbulence changes with ∇Te, ∇ne near separatrix
●Compare with theory (Guttenfelder) and other diagnostics (e.g. high-k scattering, Ren) to assess whether observed fluctuations are characteristic of ETG turbulence or other theorized modes
●Determine role of turbulence in stiff Te profiles near separatrix (as suggested by Canik et al, 2011)
5-10 dedicated shots scanning B_T or I_P to align local B field with GPI optical view. Then H-mode shots with boron PFC to get large ∇Te near separatrix to maximize expected ETG level.</t>
  </si>
  <si>
    <t>Gas puff required. B_T or I_P scan to align local B field with GPI optical view. H-mode with boron PFC.</t>
  </si>
  <si>
    <t>0B5-iztf28QNJVkVLaG9nUkdTS0U</t>
  </si>
  <si>
    <t>https://docs.google.com/open?id=0B5-iztf28QNJVkVLaG9nUkdTS0U</t>
  </si>
  <si>
    <t>Doc Created @ Sun Feb 22 2015 20:43:05 GMT-0500 (EST); Doc Merged @ Sun Feb 22 2015 20:43:05 GMT-0500 (EST); Email Sent @ Sun Feb 22 2015 20:43:19 GMT-0500 (EST)(nmandell@pppl.gov,nstx-u@pppl.gov)</t>
  </si>
  <si>
    <t>0B5-iztf28QNJRU1NZ0pIWnp1UlU</t>
  </si>
  <si>
    <t>https://docs.google.com/open?id=0B5-iztf28QNJRU1NZ0pIWnp1UlU</t>
  </si>
  <si>
    <t>Doc Created @ Wed Feb 25 2015 06:49:38 GMT-0500 (EST); Doc Merged @ Wed Feb 25 2015 06:49:38 GMT-0500 (EST)</t>
  </si>
  <si>
    <t>Model-based Optimal Feedforward Current Profile Control</t>
  </si>
  <si>
    <t>Eugenio</t>
  </si>
  <si>
    <t>Schuster</t>
  </si>
  <si>
    <t>schuster@lehigh.edu</t>
  </si>
  <si>
    <t>Z. Ilhan, W. Wehner, D. Boyer, S. Gerhardt, D. Gates, J. Menard</t>
  </si>
  <si>
    <t>Lehigh University</t>
  </si>
  <si>
    <t>15-2, 15-3, JRT-15</t>
  </si>
  <si>
    <t xml:space="preserve">The objective of this experiment is to implement optimal feedforward control laws developed for the regulation of the q profile evolution during both the ramp-up and the flattop phases of the discharge with the ultimate goal of achieving specific plasma scenarios. Different initial and target profiles will be considered. The optimal control laws will be expressed as time trajectories for the actuators, which include the total plasma current, the average plasma density, and the heating source and current drive powers. Special care will be put in reproducing in the experiment those initial conditions considered for the synthesis of the optimal control laws. The optimal feedforward control laws will be obtained through a model-based nonlinear optimization method that incorporates actuator constraints. The experiment will allow not only to evaluate the performance of the proposed controllers but also to validate the control-oriented models for current, temperature and density profile evolution used for control synthesis. The evaluation of control feasibility through use of feedforward trajectories and the validation of the control-oriented models are both key prerequisites for the next step, which is to implement a feedback controller to regulate the q profile around a desired target. Moreover, the experiment will assess the potential of model-based optimal feedforward profile control as a systematic approach for scenario planning in NSTX-U. </t>
  </si>
  <si>
    <t xml:space="preserve">Profile diagnostics for TRANSP analysis required. </t>
  </si>
  <si>
    <t>0B5-iztf28QNJWFdwWnA0NG9iVkk</t>
  </si>
  <si>
    <t>https://docs.google.com/open?id=0B5-iztf28QNJWFdwWnA0NG9iVkk</t>
  </si>
  <si>
    <t>Doc Created @ Sun Feb 22 2015 21:40:51 GMT-0500 (EST); Doc Merged @ Sun Feb 22 2015 21:40:52 GMT-0500 (EST); Email Sent @ Sun Feb 22 2015 21:40:58 GMT-0500 (EST)(schuster@lehigh.edu,nstx-u@pppl.gov)</t>
  </si>
  <si>
    <t>0B5-iztf28QNJZ1IwbmdPQl9FZmM</t>
  </si>
  <si>
    <t>https://docs.google.com/open?id=0B5-iztf28QNJZ1IwbmdPQl9FZmM</t>
  </si>
  <si>
    <t>Doc Created @ Wed Feb 25 2015 06:49:50 GMT-0500 (EST); Doc Merged @ Wed Feb 25 2015 06:49:51 GMT-0500 (EST)</t>
  </si>
  <si>
    <t>ELM effects on mixed material migration</t>
  </si>
  <si>
    <t>M. Jaworski, et al.</t>
  </si>
  <si>
    <t>PFCs can undergo significant material migration due to the enhanced heat and particle fluxes produced by ELMs. In high-Z machines, ELMs can be the primary driver of material migration if they are the only source of particles above the material’s sputtering threshold energy. However, ELMs are difficult to model and are rarely implemented in material migration simulations. The goal of this XP is to observe C/Li migration behavior in various controlled ELM regimes, and use this information to guide the development of an ELM model in the global mixed material migration code WallDYN.
	The key data for this experiment will be the spectroscopically-measured carbon/lithium sputtering yields (proxy for surface composition) at multiple locations in the lower divertor, as well as pre- and post-shot elemental composition from MAPP. The baseline target plasma is a heavily lithiumized, high-power, ELM-free H-mode, preferably with the outer strike point on row 2 to maximize flux to MAPP. Once this baseline has been achieved, the same plasma will be run with ELMs paced by either Li granule injector (preferred) or RMP. A variety of ELM frequencies will be run as time permits. Material migration rates will be compared to the ELM-free case, and correlated with ELM frequency, delta-W, and particle/heat flux to the target.
	This experiment is well suited for piggyback, especially with ELM pacing XPs. As long as there is a nominally identical ELM-free discharge for comparison, any data with controlled ELMs is useful and would be an improvement over our current dearth of knowledge.
</t>
  </si>
  <si>
    <t>Requires reproducible ELM-free H-mode. Large lithium evaporations before discharges will give the best surface data. Requires MAPP XPS, Langmuir probes, TS, CHERS, EFIT, fast IR thermography, and significant divertor spectroscopy/camera capability.</t>
  </si>
  <si>
    <t>0B5-iztf28QNJVFk4TFhDYlhDeTA</t>
  </si>
  <si>
    <t>https://docs.google.com/open?id=0B5-iztf28QNJVFk4TFhDYlhDeTA</t>
  </si>
  <si>
    <t>Doc Created @ Sun Feb 22 2015 21:59:15 GMT-0500 (EST); Doc Merged @ Sun Feb 22 2015 21:59:15 GMT-0500 (EST); Email Sent @ Sun Feb 22 2015 21:59:20 GMT-0500 (EST)(jnichols@pppl.gov,nstx-u@pppl.gov)</t>
  </si>
  <si>
    <t>0B5-iztf28QNJdHRxSHZldWRBS2s</t>
  </si>
  <si>
    <t>https://docs.google.com/open?id=0B5-iztf28QNJdHRxSHZldWRBS2s</t>
  </si>
  <si>
    <t>Doc Created @ Wed Feb 25 2015 06:50:04 GMT-0500 (EST); Doc Merged @ Wed Feb 25 2015 06:50:04 GMT-0500 (EST)</t>
  </si>
  <si>
    <t>0B5-iztf28QNJZnF5ZFZCbzlobXM</t>
  </si>
  <si>
    <t>https://docs.google.com/open?id=0B5-iztf28QNJZnF5ZFZCbzlobXM</t>
  </si>
  <si>
    <t>Doc Created @ Sun Feb 22 2015 22:08:21 GMT-0500 (EST); Doc Merged @ Sun Feb 22 2015 22:08:22 GMT-0500 (EST); Email Sent @ Sun Feb 22 2015 22:08:28 GMT-0500 (EST)(zwang@pppl.gov,nstx-u@pppl.gov)</t>
  </si>
  <si>
    <t>0B5-iztf28QNJM3JlRzBUMnBRMTg</t>
  </si>
  <si>
    <t>https://docs.google.com/open?id=0B5-iztf28QNJM3JlRzBUMnBRMTg</t>
  </si>
  <si>
    <t>Doc Created @ Wed Feb 25 2015 06:50:16 GMT-0500 (EST); Doc Merged @ Wed Feb 25 2015 06:50:16 GMT-0500 (EST)</t>
  </si>
  <si>
    <t>Understanding impurity transport mechanisms in the plasma pedestal</t>
  </si>
  <si>
    <t>Alberto</t>
  </si>
  <si>
    <t>Loarte</t>
  </si>
  <si>
    <t>alberto.loarte@iter.org</t>
  </si>
  <si>
    <t>Ahmed Diallo, Rajesh Maingi, and Filippo Scotti</t>
  </si>
  <si>
    <t>ITER request</t>
  </si>
  <si>
    <t>Predictions of impurity contamination and strategies for edge control in H-modes are based on the assumption that neoclassical transport determines impurity transport in the pedestal and that impurity densities are determined by the competition between the inwards pinch driven by density gradients and temperature screening. For ITER, where high separatrix densities are required to control the divertor power loads, high Z impurity densities are predicted to be hollow which has implications for their control by ELMs (ELMs can bring-in impurities rather than expel them). Neither of these two results has been demonstrated experimentally. The purpose of the NSTX experiments would be to develop pedestal conditions by application of NBI heating power, lithium conditioning, gas puffing, etc., in which impurity density profiles are expected to change from peaked to hollow in the pedestal and to measure these profiles by spectroscopic methods by injecting appropriate impurities at the trace level (Ar, Xe, etc. or others as required). Then two conditions would be selected in which pedestal impurity density profiles are peaked and hollow and ELMs would be triggered by Lithium granules or 3-D fields. Ideally one should carry out these experiments at two currents/fields to test the scaling with these parameters and determine if it follows neoclassical transport dependencies.</t>
  </si>
  <si>
    <t>Good spectroscopy measurements of impurities in the pedestal and of the pedestal density and temperature gradients. Lithium conditioning and granules for ELM triggering and 3-D fields for ELM control.</t>
  </si>
  <si>
    <t>0B5-iztf28QNJVkZtLWtpQnFVSXc</t>
  </si>
  <si>
    <t>https://docs.google.com/open?id=0B5-iztf28QNJVkZtLWtpQnFVSXc</t>
  </si>
  <si>
    <t>Doc Created @ Mon Feb 23 2015 09:36:15 GMT-0500 (EST); Doc Merged @ Mon Feb 23 2015 09:36:15 GMT-0500 (EST); Email Sent @ Mon Feb 23 2015 09:36:20 GMT-0500 (EST)(alberto.loarte@iter.org,nstx-u@pppl.gov)</t>
  </si>
  <si>
    <t>0B5-iztf28QNJa3ktSGxud1N4N0E</t>
  </si>
  <si>
    <t>https://docs.google.com/open?id=0B5-iztf28QNJa3ktSGxud1N4N0E</t>
  </si>
  <si>
    <t>Doc Created @ Wed Feb 25 2015 06:50:25 GMT-0500 (EST); Doc Merged @ Wed Feb 25 2015 06:50:25 GMT-0500 (EST)</t>
  </si>
  <si>
    <t>Tearing onset through driven reconnection across rational surfaces</t>
  </si>
  <si>
    <t>Carlos</t>
  </si>
  <si>
    <t>Paz-Soldan</t>
  </si>
  <si>
    <t>paz-soldan@fusion.gat.com</t>
  </si>
  <si>
    <t>R. J. La Haye, D. Brennan, J-K. Park</t>
  </si>
  <si>
    <t>The stability of tokamak plasmas with a saturated high-order tearing mode (4/3, 3/2) has been observed to be limited by the onset of low-order tearing modes (2/1) when the differential rotation from the 2/1 surface to the higher-order rational surface is lost.  The low-order mode appears at the same phase velocity of the higher-order tearing mode, indicative of a non-linear coupling between the modes.  This condition is easily achieved on DIII-D through the application of counter-current neutral beam power and torque, which directly reduces the differential rotation.  
This proposal will extend these studies to the ST configuration and assess whether similar physics occurs, and if so under what equilibrium conditions.  These studies will inform proposed NIMROD modeling and extend the parametric space already explored at conventional aspect ratio.  If this phenomenon is universal it could pose significant challenges for maintaining macroscopic stability in conditions of low plasma rotation, such as is foreseen on ITER.
The target plasmas required are those with saturated and stationary high order tearing modes, presumably excited by operating at high pressure, high current, or low toroidal field. Toroidal rotation would then be modified through beam tangency changes or application of non-resonant magnetic fields.
Assuming the saturated high-order tearing modes can be excited, and the differential rotation to the low order surface removed, these conditions would be repeated with varying levels of either plasma pressure or safety factor to assess whether driven reconnection to the 2/1 mode occurs.
</t>
  </si>
  <si>
    <t>Would require plasma target that can reproducibly generate stable higher-order tearing modes (such as a 4/3 or 3/2).  Would likely start with conditions similar to XP proposals by R. J. La Haye, so this should not occur before those experiments.</t>
  </si>
  <si>
    <t>0B5-iztf28QNJd1J2bVNONzNiMnc</t>
  </si>
  <si>
    <t>https://docs.google.com/open?id=0B5-iztf28QNJd1J2bVNONzNiMnc</t>
  </si>
  <si>
    <t>Doc Created @ Mon Feb 23 2015 10:05:06 GMT-0500 (EST); Doc Merged @ Mon Feb 23 2015 10:05:07 GMT-0500 (EST); Email Sent @ Mon Feb 23 2015 10:05:17 GMT-0500 (EST)(paz-soldan@fusion.gat.com,nstx-u@pppl.gov)</t>
  </si>
  <si>
    <t>0B5-iztf28QNJajRJRXpnNE0yWDA</t>
  </si>
  <si>
    <t>https://docs.google.com/open?id=0B5-iztf28QNJajRJRXpnNE0yWDA</t>
  </si>
  <si>
    <t>Doc Created @ Wed Feb 25 2015 06:50:34 GMT-0500 (EST); Doc Merged @ Wed Feb 25 2015 06:50:35 GMT-0500 (EST)</t>
  </si>
  <si>
    <t>Understanding of pedestal anomalous transport reduction/increase from L-mode to Type I ELMy H-mode and back</t>
  </si>
  <si>
    <t>Ahmed Diallo and Rajesh Maingi</t>
  </si>
  <si>
    <t>TC-22</t>
  </si>
  <si>
    <t>Predictions of plasma evolution in the access/ exit to/from burn in ITER depend on the changes of the density and temperature in these phases as they deeply affect the alpha power evolution which is dominant in high Q scenarios in ITER. Prediction of this evolution depends critically on how the transport is modified across the transport barrier as the plasma enters into/exits from the high performance H-mode and this needs experimental guidance. The critical issues to be addressed are: a) how is the transport reduced (increase for back transition) in time and space across the pedestal as the plasma transits from L-mode into high performance H-mode (or out of it for the back transition)? b) can this transport reduction for energy and particle be control and modified by external means (i.e. keeping the input power at some margin above the L-H and H-L transitions, use of gas fuelling to control power threshold at fixed input power, etc.)?
To address this issue a set of discharges would be carried out in NSTX optimized for transport measurements in the pedestal across the L-H transition to high performance H-mode and back. Probably a good starting point would be to use plasmas with broad pedestals achievable with Li conditioning as this makes spatially resolved measurements in the pedestal easier. As a first step the changes to transport would be measured at constant input power (i.e. square NBI waveform) and without gas fuelling. Then the level of input power would be scanned from near the L-H threshold to as high as possible. After this a given NBI would be chosen and the plasma density scanned by gas puffing. Finally the experiments would be repeated at a different value of the toroidal field. The objective of some of these scans is to verify if proximity to the H-mode threshold during the transients is an important parameter to determine the spatial and temporal evolution of the pedestal plasma transport in the access and exit phases from high confinement H-modes.</t>
  </si>
  <si>
    <t>Good measurements of transport, density and temperature gradients in the pedestal, lithium conditioning and two NBI boxes.</t>
  </si>
  <si>
    <t>0B5-iztf28QNJbThkMml0eXpYb3M</t>
  </si>
  <si>
    <t>https://docs.google.com/open?id=0B5-iztf28QNJbThkMml0eXpYb3M</t>
  </si>
  <si>
    <t>Doc Created @ Mon Feb 23 2015 10:08:02 GMT-0500 (EST); Doc Merged @ Mon Feb 23 2015 10:08:03 GMT-0500 (EST); Email Sent @ Mon Feb 23 2015 10:08:08 GMT-0500 (EST)(alberto.loarte@iter.org,nstx-u@pppl.gov)</t>
  </si>
  <si>
    <t>0B5-iztf28QNJVUhuZVNxS2lZX1U</t>
  </si>
  <si>
    <t>https://docs.google.com/open?id=0B5-iztf28QNJVUhuZVNxS2lZX1U</t>
  </si>
  <si>
    <t>Doc Created @ Wed Feb 25 2015 06:50:44 GMT-0500 (EST); Doc Merged @ Wed Feb 25 2015 06:50:44 GMT-0500 (EST)</t>
  </si>
  <si>
    <t>Divertor conditions and detachment characteristics in plasmas with 3-D fields</t>
  </si>
  <si>
    <t xml:space="preserve">Joon-Woo Ahn, Ahmed Diallo, Rajesh Maingi, Oliver Schmitz and Jeremy Lore </t>
  </si>
  <si>
    <t>ITER is expected to use 3-D field perturbations by an external coil set to control ELMs and in addition to operate in a high density/radiative divertor for stationary divertor power load control. The behaviour of the divertor power flux is known to be affected by 3-D fields due to the appearance of non-toroidally symmetric power deposition structures associated with the edge ergodization created by these fields. The effect of such power flux structures on divertor behaviour at high density and high radiation is not very well characterized (in fact practically the only systematic studies that exist are from NSTX) and in particular when extrinsic impurities are added to increase the divertor radiation level at high input powers.
To address this issue a set of reference discharges would be carried out in NSTX at two power levels with gas fuelling scans in which the divertor transits from low recycling to high recycling to detached conditions. Then they would be repeated with 3-D fields first at maximum amplitude compatible with H-mode operation and optimized to be aligned with the edge magnetic field pitch and maximum edge ergodization and then at then at the lowest level for which asymmetric power loads can be measured in the low recycling conditions. These two scans would provide information on the similarities/differences of divertor behaviour between 2-D and 3-D plasmas from low recycling to detachment with intrinsic impurities versus power and intensity of the 3-D fields. Then a mid-density point would be selected and first an impurity seeding scan (with Nitrogen seeding if possible) would be carried out for the two power levels without 3-D fields to characterize radiative divertor operation without 3-D fields. Following this 3-D field would be applied as above and the scan repeated for the two levels of power and the two levels of 3-D field intensity.</t>
  </si>
  <si>
    <t>Good radiation and divertor power load measurements as well as of the SOL and pedestal plasma parameters. Two NBI boxes and 3-D fields for ELM control.</t>
  </si>
  <si>
    <t>0B5-iztf28QNJRU4yOVJ2UkFEbXc</t>
  </si>
  <si>
    <t>https://docs.google.com/open?id=0B5-iztf28QNJRU4yOVJ2UkFEbXc</t>
  </si>
  <si>
    <t>Doc Created @ Wed Feb 25 2015 07:23:07 GMT-0500 (EST); Doc Merged @ Wed Feb 25 2015 07:23:08 GMT-0500 (EST); Email Sent @ Wed Feb 25 2015 07:23:12 GMT-0500 (EST)(alberto.loarte@iter.org,nstx-u@pppl.gov)</t>
  </si>
  <si>
    <t>0B5-iztf28QNJSmJSaFNqRW96M2M</t>
  </si>
  <si>
    <t>https://docs.google.com/open?id=0B5-iztf28QNJSmJSaFNqRW96M2M</t>
  </si>
  <si>
    <t>Doc Created @ Wed Feb 25 2015 06:50:56 GMT-0500 (EST); Doc Merged @ Wed Feb 25 2015 06:50:56 GMT-0500 (EST)</t>
  </si>
  <si>
    <t>Investigation of Plasma Disruptions during Current Rampdown</t>
  </si>
  <si>
    <t>Stephen</t>
  </si>
  <si>
    <t>Jardin</t>
  </si>
  <si>
    <t>jardin@pppl.gov</t>
  </si>
  <si>
    <t>SS Ops, Disrup. Avoidance</t>
  </si>
  <si>
    <t>Motivation:
NSTX plasmas often disrupted when the plasma current was rapidly ramped down at the end of the nominal discharge.   No systematic study has been done to determine by what mechanism the thermal quench occurs in these discharges, and how best to avoid them.   We propose to carry out a series of shots with varying current ramp-down rates on otherwise identical discharges to determine experimentally what the critical ramp-down rate is for disruption-free plasma termination.   These experiments will be supported by both transport and MHD modeling and the results will be compared with both linear and nonlinear stability codes.   The goals are to both obtain a better understanding of what causes a thermal quench and to provide guidance for obtaining disruption-free operation during current ramp-down. 
Experimental Procedure:
1) Use the morning Fiducials to ramp the plasma current down to zero at different ramp rates. On each day a different ramp-rate will be used. After a sufficient set of data has been collected and analyzed, there can be some dedicated time, if needed  (2 - 4 hours) to collect the missing data, or to do a dedicated scan on the same day as part of a controlled sequence of shots.
2) Maintain the discharge in full iso-flux control (i.e., do not transition to the shutdown phase)
3) For some of the faster current ramp-rates, the plasma will disrupt. Establish this critical current ramp-rate limit for the Fiducial discharges.
4) Starting from near the critical current ramp-rate limit, for the fiducial, implement other small changes to the discharge to extend the critical current ramp rate to a faster valve. The changes will be:
4-a) Starting from 100ms before the the start of the current ramp time, modulate the NBI power down over time, and re-establish the new critical current ramp rate at which the plasma disrupts.
</t>
  </si>
  <si>
    <t>Theoretical and Modeling Support:
We will apply modeling tools to these discharges including TRANSP discharge modeling, linear MHD analysis using PEST-II and M3D-C1, and nonlinear MHD analysis using M3D-C1.  Goals will be to compare linear mode structure with experimental results, and to further understanding how and when linearly unstable modes grow to lead to a thermal quench.
</t>
  </si>
  <si>
    <t>0B5-iztf28QNJUEhIV25fbzFxM1U</t>
  </si>
  <si>
    <t>https://docs.google.com/open?id=0B5-iztf28QNJUEhIV25fbzFxM1U</t>
  </si>
  <si>
    <t>Doc Created @ Wed Feb 25 2015 07:23:17 GMT-0500 (EST); Doc Merged @ Wed Feb 25 2015 07:23:17 GMT-0500 (EST); Email Sent @ Wed Feb 25 2015 07:23:22 GMT-0500 (EST)(jardin@pppl.gov,nstx-u@pppl.gov)</t>
  </si>
  <si>
    <t>0B5-iztf28QNJcG9wVjFYUTdWd2c</t>
  </si>
  <si>
    <t>https://docs.google.com/open?id=0B5-iztf28QNJcG9wVjFYUTdWd2c</t>
  </si>
  <si>
    <t>Doc Created @ Wed Feb 25 2015 06:51:04 GMT-0500 (EST); Doc Merged @ Wed Feb 25 2015 06:51:05 GMT-0500 (EST)</t>
  </si>
  <si>
    <t>Antenna-Plasma Interactions and HHFW Power Losses on the Antenna Structure</t>
  </si>
  <si>
    <t>Camera images of the HHFW antenna show bright interactions between the SOL plasma and the antenna straps during RF heating.  Using a new slow IR camera aimed at the antenna, we will be able to determine quantify how much power is deposited in this fashion and whether the antenna components are significantly heated. The upgraded ORNL SOL reflectometer and a midplane Langmuir probe will monitor the local plasma parameters in front of the antenna.  Important questions that will be addressed by this experiment are: (1) Are HHFW power losses on the antenna significant, and do they need to be included in HHFW power balance? (2) Are antenna-plasma interactions correlated to the RF spirals that can appear on the upper and lower divertor? 
This experiment will use both L-mode and H-mode plasmas to compare the difference in SOL conditions on the antenna-plasma interactions.  Varying amounts of NB power will be used.  Different ELM types would be useful.  Also, the ability to ‘jog’ the plasma position (vertical position and outer gap) would greatly help.
</t>
  </si>
  <si>
    <t xml:space="preserve">The ‘RF’ IR camera is required.  </t>
  </si>
  <si>
    <t>0B5-iztf28QNJaXpKS294RVJ2WkE</t>
  </si>
  <si>
    <t>https://docs.google.com/open?id=0B5-iztf28QNJaXpKS294RVJ2WkE</t>
  </si>
  <si>
    <t>Doc Created @ Mon Feb 23 2015 10:49:11 GMT-0500 (EST); Doc Merged @ Mon Feb 23 2015 10:49:12 GMT-0500 (EST); Email Sent @ Mon Feb 23 2015 10:49:17 GMT-0500 (EST)(rperkins@pppl.gov,nstx-u@pppl.gov)</t>
  </si>
  <si>
    <t>0B5-iztf28QNJekx3VFVLR0dyVW8</t>
  </si>
  <si>
    <t>https://docs.google.com/open?id=0B5-iztf28QNJekx3VFVLR0dyVW8</t>
  </si>
  <si>
    <t>Doc Created @ Wed Feb 25 2015 06:51:15 GMT-0500 (EST); Doc Merged @ Wed Feb 25 2015 06:51:15 GMT-0500 (EST)</t>
  </si>
  <si>
    <t>Leading edge power loading of PFCs</t>
  </si>
  <si>
    <t>M Jaworski</t>
  </si>
  <si>
    <t>ITPA DSOL-31, R16-2</t>
  </si>
  <si>
    <t xml:space="preserve">Heatflux incident on the leading edges of PFC tiles can results in significant heating and erosion of the PFC tile.  This becomes of greater importance as NSTX-U looks to transition to high-Z PFCs rather than graphite.  We propose to make several changes to the lower divertor, IR camera system to enhance the spatial resolution of the diagnostic (from 6-7 mm down to 1.5 mm) and remove the dual-band adaptor for a larger field of view to make measurements of tile heating of the graphite PFC leading edges installed NSTX-U for FY15.  These measurements will inform the design of high-Z tile upgrade for FY16.  </t>
  </si>
  <si>
    <t>Can be run in Li, but prefer Boronized discharges so the dual-band adaptor can be removed from the IR camera.</t>
  </si>
  <si>
    <t>0B5-iztf28QNJeUYzVFVldHZ0UWs</t>
  </si>
  <si>
    <t>https://docs.google.com/open?id=0B5-iztf28QNJeUYzVFVldHZ0UWs</t>
  </si>
  <si>
    <t>Doc Created @ Mon Feb 23 2015 10:55:29 GMT-0500 (EST); Doc Merged @ Mon Feb 23 2015 10:55:30 GMT-0500 (EST); Email Sent @ Mon Feb 23 2015 10:55:39 GMT-0500 (EST)(tkgray@pppl.gov,nstx-u@pppl.gov)</t>
  </si>
  <si>
    <t>0B5-iztf28QNJV25PQjVBTW5pLUE</t>
  </si>
  <si>
    <t>https://docs.google.com/open?id=0B5-iztf28QNJV25PQjVBTW5pLUE</t>
  </si>
  <si>
    <t>Doc Created @ Wed Feb 25 2015 06:59:07 GMT-0500 (EST); Doc Merged @ Wed Feb 25 2015 06:59:07 GMT-0500 (EST)</t>
  </si>
  <si>
    <t>Characterizing Type I ELMy H-modes in He plasmas and demonstration of ELM Control</t>
  </si>
  <si>
    <t>Alberto Loarte, Francesca Poli</t>
  </si>
  <si>
    <t>IOS-2.1 Joint Experiment</t>
  </si>
  <si>
    <t xml:space="preserve">The ITER Research Plan presently assumes that it will be possible to establish H-modes in helium plasmas with large Type I ELMs so that operational requirements and control schemes in this regime can be developed in the non-active phase in advance of DT operation. ELM control is essential to control divertor heat flux and avoid W accumulation, which could lead to the loss of the H-mode by increased core radiative losses and possibly to increased disruptions.  While the H-mode threshold is expected to be lower in helium than in hydrogen plasmas based on the results from some machines, justifying the choice of helium for demonstrating H-mode operation in the ITER non-active phase, it is essential to characterize the pedestal and Type I ELMs in helium H-modes as compared to deuterium. Once this is achieved, it is important to determine if the foreseen ELM control schemes for D and DT plasmas in ITER will be effective in helium plasmas and whether the ELM control requirements in He are similar to provide a physics basis to extrapolate the requirements from He to DT plasmas. This is the ITPA IOS-2.1 high priority joint experiment for ITER.  Initial experiments were performed in DIII-D in 2014 and further experiments are expected on ASDEX Upgrade and Alcator C-Mod in 2015.  The possibility of obtaining Type I ELMy H-mode with ICRF and the ELM control capabilities of NSTX-U with 3D fields and pellet pacing would provide a valuable comparison with the results from these other tokamaks, particularly at low input torque, as expected in ITER. </t>
  </si>
  <si>
    <t>HHFW heating scheme for helium plasmas.  ELM control with 3D fields and pellet pacing.</t>
  </si>
  <si>
    <t>0B5-iztf28QNJeG1qRWZTcHZPMXM</t>
  </si>
  <si>
    <t>https://docs.google.com/open?id=0B5-iztf28QNJeG1qRWZTcHZPMXM</t>
  </si>
  <si>
    <t>Doc Created @ Wed Feb 25 2015 07:23:27 GMT-0500 (EST); Doc Merged @ Wed Feb 25 2015 07:23:27 GMT-0500 (EST); Email Sent @ Wed Feb 25 2015 07:23:32 GMT-0500 (EST)(joseph.snipes@iter.org,nstx-u@pppl.gov)</t>
  </si>
  <si>
    <t>0B5-iztf28QNJelJqNWl0YnBoOUk</t>
  </si>
  <si>
    <t>https://docs.google.com/open?id=0B5-iztf28QNJelJqNWl0YnBoOUk</t>
  </si>
  <si>
    <t>Doc Created @ Wed Feb 25 2015 06:59:17 GMT-0500 (EST); Doc Merged @ Wed Feb 25 2015 06:59:17 GMT-0500 (EST)</t>
  </si>
  <si>
    <t xml:space="preserve">Performance optimization of divertor detachment </t>
  </si>
  <si>
    <t>V.A. Soukhanovskii, R. Maingi, J.M. Canik, J.D. Lore</t>
  </si>
  <si>
    <t>The level of necessary radiation power to achieve divertor detachment increases with heating power. Both divertor gas puff and snowflake have proved to significantly lower heat flux in NSTX. Snowflake is a useful tool to spread heat over a large PFC area but it almost does not affect the core radiation power. Therefore, combining snowflake with impurity gas injection could be a useful tool to optimize detachment performance. The increased core radiation from high Z impurity gas, eg Ar, could yield low PSOL and this would maximize the heat mitigation effect of snowflake. On the other hand, low Z impurity gas such as nitrogen will help enhance edge radiation. Also, snowflake could reduce the necessary amount of injected gas for the achievement of low enough heat flux, which would help minimize confinement degradation caused by impurity gas injection. Combined with these two knobs, increase of neutral pressure by deuterium puffing will also help achieve detachment. This XP aims to optimize the performance of detachment with minimum confinement degradation for high NBI power, by combining core and edge radiation, enhancement of neutral pressure, and snowflake configuration.</t>
  </si>
  <si>
    <t>Impurity injection, snowflake</t>
  </si>
  <si>
    <t>0B5-iztf28QNJRGxfWGphZVFhUnc</t>
  </si>
  <si>
    <t>https://docs.google.com/open?id=0B5-iztf28QNJRGxfWGphZVFhUnc</t>
  </si>
  <si>
    <t>Doc Created @ Mon Feb 23 2015 12:14:15 GMT-0500 (EST); Doc Merged @ Mon Feb 23 2015 12:14:15 GMT-0500 (EST); Email Sent @ Mon Feb 23 2015 12:14:22 GMT-0500 (EST)(jahn@pppl.gov,nstx-u@pppl.gov)</t>
  </si>
  <si>
    <t>0B5-iztf28QNJR1JTOHJVMEQyaTQ</t>
  </si>
  <si>
    <t>https://docs.google.com/open?id=0B5-iztf28QNJR1JTOHJVMEQyaTQ</t>
  </si>
  <si>
    <t>Doc Created @ Wed Feb 25 2015 06:59:25 GMT-0500 (EST); Doc Merged @ Wed Feb 25 2015 06:59:26 GMT-0500 (EST)</t>
  </si>
  <si>
    <t>Combination of 3D fields with snowflake for impurity control</t>
  </si>
  <si>
    <t>R. Maingi, J.M. Canik, V.A. Soukhanovskii</t>
  </si>
  <si>
    <t>The goal of this XP is to explore if applied 3D fields and snowflake are compatible for impurity and particle control, by applying 3D fields to snowflake divertor discharges. 3D fields were found to trigger ELMs and reduce edge impurities, but when the field amplitude was below the ELM triggering threshold there was no evidence of enhanced particle transport. Snowflake configuration produced easier partial detachment access and reduced physical sputtering, which led to the reduction of carbon impurities in the plasma. It also triggered ELMs, further purging impurities out of the confined plasma. Therefore the idea is to combine these two techniques to look for possible synergies in impurity control. In order to maximize the effect of 3D fields, ie for best pitch alignment, the lowest possible q95 will be used. Lower n-number of 3D fields is also expected to contribute more to resonant components; n=2 might be best considering the susceptibility of n=1 to plasma disruption in NSTX.</t>
  </si>
  <si>
    <t>3D fields, snowflake</t>
  </si>
  <si>
    <t>0B5-iztf28QNJc1BrQzZ1VTlqdk0</t>
  </si>
  <si>
    <t>https://docs.google.com/open?id=0B5-iztf28QNJc1BrQzZ1VTlqdk0</t>
  </si>
  <si>
    <t>Doc Created @ Mon Feb 23 2015 12:17:20 GMT-0500 (EST); Doc Merged @ Mon Feb 23 2015 12:17:20 GMT-0500 (EST); Email Sent @ Mon Feb 23 2015 12:17:30 GMT-0500 (EST)(jahn@pppl.gov,nstx-u@pppl.gov)</t>
  </si>
  <si>
    <t>0B5-iztf28QNJLUxobkVVYTBJRlk</t>
  </si>
  <si>
    <t>https://docs.google.com/open?id=0B5-iztf28QNJLUxobkVVYTBJRlk</t>
  </si>
  <si>
    <t>Doc Created @ Wed Feb 25 2015 06:59:35 GMT-0500 (EST); Doc Merged @ Wed Feb 25 2015 06:59:36 GMT-0500 (EST)</t>
  </si>
  <si>
    <t>Effects of B-&gt; Li transition on the pedestal structure</t>
  </si>
  <si>
    <t>Li will be introduced into NSTX-U in a controlled manner, following the development of H-modes with boronized wall conditions. Here we propose to do a systematic introduction of Li into NSTX-U, with gradually increasing dose, to document the edge and core conditions. This follows similar experiments in NSTX in medium shaped (2008) and highly shaped (2009) discharges.</t>
  </si>
  <si>
    <t>We will require a stable discharge, hopefully H-mode, to serve as the baseline condition. We need the ability to increase the Li does in a controlled manner. The use of HeGDC between discharges will be gradually eliminated as part of this experiment.</t>
  </si>
  <si>
    <t>0B5-iztf28QNJMnJrN0tTNEpqdE0</t>
  </si>
  <si>
    <t>https://docs.google.com/open?id=0B5-iztf28QNJMnJrN0tTNEpqdE0</t>
  </si>
  <si>
    <t>Doc Created @ Mon Feb 23 2015 13:18:20 GMT-0500 (EST); Doc Merged @ Mon Feb 23 2015 13:18:21 GMT-0500 (EST); Email Sent @ Mon Feb 23 2015 13:18:27 GMT-0500 (EST)(rmaingi@pppl.gov,nstx-u@pppl.gov)</t>
  </si>
  <si>
    <t>0B5-iztf28QNJZ1l2djUzZDVuNDA</t>
  </si>
  <si>
    <t>https://docs.google.com/open?id=0B5-iztf28QNJZ1l2djUzZDVuNDA</t>
  </si>
  <si>
    <t>Doc Created @ Wed Feb 25 2015 06:59:45 GMT-0500 (EST); Doc Merged @ Wed Feb 25 2015 06:59:46 GMT-0500 (EST)</t>
  </si>
  <si>
    <t>NTM Entrainment in NSTX-U</t>
  </si>
  <si>
    <t>S.A. Sabbagh, J.W. Berkery</t>
  </si>
  <si>
    <t>R(15-3),JRT-16,ITPA MDC-8, ITPA MDC-17, ITPA MDC-22</t>
  </si>
  <si>
    <t>NTM “entrainment”, in which tearing modes are partially controlled for the purposes of disruption avoidance, has been successful in DIII-D (Volpe, et al.,; Okabayashi, et al. (2013)). This experiment will attempt to demonstrate such control on NSTX-U with a novel technique – slow an observed NTM using non-resonant NTV to slow the plasma. Then, with the NTM slowed to near, or below the critical rotation speed for mode locking, apply an n = 1 AC field to attempt to keep the NTM rotating, potentially  at a slower speed than the critical mode rotation speed for locking, thereby avoiding the usual disruption caused by the mode lock. Finally, attempt to use n = 1 “slow” feedback with a phase that sustains the n = 1 mode rotation to track and sustain the slowed, rotating mode.
A) Slow plasma rotation to n = 1 NTM locking point using non-resonant NTV
  1) Generate saturated n = 1 NTM (3/1 and/or 2/1) in rotating H-mode plasma (4 shots)
  2) Slow plasma using n = 3 braking until n = 1 NTM locks (2 shots)
  3) Repeat Step A(2) with n = 2 braking (2 shots)
B) Sustain n = 1 NTM rotation at low plasma rotation while using non-resonant braking
  1) Add n = 1 AC field above rotation frequency of n = 1 NTM to avoid lock, varying amplitude of amplitude field (3 shots)
   2) Once step B(1) shows success, reduce plasma rotation/mode frequency and sustain the saturated NTM below the critical rotation for mode locking (3 shots)
   3) If step B(1) shows success, attempt step B(2) with n = 2 non-resonant NTV (3 shots)
   4) Use successful case from Step B and turn off AC field to see if mode locks (2 shots)
C) Attempt n = 1 NTM entrainment with n = 1 feedback
   1) Pick best non-resonant braking scenario from Step (B) and attempt “slow” toroidal phase-forward feedback ~ 50 ms filter – using proportional gain, changing feedback phase (6 shots)
   2) As Step C(1), now changing feedback gain (2 shots)
   3) Use successful case from Step C), turn off feedback to see if mode locks (1 shot)
</t>
  </si>
  <si>
    <t>Operations/Development:
Normal ability to slow the plasma with non-resonant NTV using n = 2, or n = 3 field configurations, and application of a toroidally rotating n = 1 field at less than 400 Hz.
Diagnostics:
RWM sensors, CHERS, USXR, ME-SXR, BES, equilibrium magnetics, toroidal pickup probe array, etc.
Analysis:
NSTX-U EFIT with MSE, PEST-3 (as performed by Y.S. Park for KSTAR), M3D-C1 (as performed by Y.S. Park for KSTAR), NTVTOK, DCON, VALEN, MISK
</t>
  </si>
  <si>
    <t>0B5-iztf28QNJVmdpRHl0LWNmWDA</t>
  </si>
  <si>
    <t>https://docs.google.com/open?id=0B5-iztf28QNJVmdpRHl0LWNmWDA</t>
  </si>
  <si>
    <t>Doc Created @ Wed Feb 25 2015 07:23:37 GMT-0500 (EST); Doc Merged @ Wed Feb 25 2015 07:23:38 GMT-0500 (EST); Email Sent @ Wed Feb 25 2015 07:23:42 GMT-0500 (EST)(ypark@pppl.gov,nstx-u@pppl.gov)</t>
  </si>
  <si>
    <t>0B5-iztf28QNJblhXZFZPSDRpd1k</t>
  </si>
  <si>
    <t>https://docs.google.com/open?id=0B5-iztf28QNJblhXZFZPSDRpd1k</t>
  </si>
  <si>
    <t>Doc Created @ Wed Feb 25 2015 06:59:54 GMT-0500 (EST); Doc Merged @ Wed Feb 25 2015 06:59:54 GMT-0500 (EST)</t>
  </si>
  <si>
    <t>Testing divertor performance metrics for X-divertors on NSTX-U</t>
  </si>
  <si>
    <t>Mike</t>
  </si>
  <si>
    <t>Kotschenreuther</t>
  </si>
  <si>
    <t>mtk@austin.utexas.edu</t>
  </si>
  <si>
    <t>Brent Covele, Prashant Valanju, Swadesh Mahajan, Rajesh Maingi, Jon Menard</t>
  </si>
  <si>
    <t>University of Texas</t>
  </si>
  <si>
    <t>The problem of heat and particle exhaust in fusion grade plasmas is, currently, recognized as serious enough that testing innovative approaches can make important contribution in our quest for fusion power. The NSTX-U, with great flexibility in the magnetic geometry of the SOL, allows various advanced divertors, such as X-Divertors (XD), to be created with the NSTX-U PF coils set; the extensive NSTX-U diagnostics provide just the infrastructure needed to study and analyze these geometries in detail. Recent theoretical and simulation advances, in understanding the magnetic field structure in the SOL, provide a suitable backdrop for the analysis. In particular, new simple-to-measure, physics-based metrics, such as the index DI, can be exploited to quantify edge and core plasma performance gains enabled by such divertors. Thus, the NSTX-U-IFS collaboration to quantitatively test advanced divertors is, naturally, indicated.</t>
  </si>
  <si>
    <t>See TSG presentation for more details</t>
  </si>
  <si>
    <t>0B5-iztf28QNJYzhjTkNRdjlEWG8</t>
  </si>
  <si>
    <t>https://docs.google.com/open?id=0B5-iztf28QNJYzhjTkNRdjlEWG8</t>
  </si>
  <si>
    <t>Doc Created @ Wed Feb 25 2015 07:23:47 GMT-0500 (EST); Doc Merged @ Wed Feb 25 2015 07:23:47 GMT-0500 (EST); Email Sent @ Wed Feb 25 2015 07:23:51 GMT-0500 (EST)(mtk@austin.utexas.edu,nstx-u@pppl.gov)</t>
  </si>
  <si>
    <t>0B5-iztf28QNJcnlPeXF4ckgwSzg</t>
  </si>
  <si>
    <t>https://docs.google.com/open?id=0B5-iztf28QNJcnlPeXF4ckgwSzg</t>
  </si>
  <si>
    <t>Doc Created @ Wed Feb 25 2015 07:00:05 GMT-0500 (EST); Doc Merged @ Wed Feb 25 2015 07:00:05 GMT-0500 (EST)</t>
  </si>
  <si>
    <t>Surface Science for NSTX-U rev</t>
  </si>
  <si>
    <t>​yr plan Thrust MP­1: Understand lithium surface­science during extended PFC operation</t>
  </si>
  <si>
    <t>We will present a new PU / NSTX 4-year collaboration is to elucidate the surface chemistry that affects key issues in the use of coatings (B, Li, Sn) in future high power fusion devices (NSTX-U, FNSF) for the present graphite tiles and for future metal (Mo, TZM, W) plasma-facing components (PFCs).  This work will be performed at surface science labs at PPPL and PU, and includes: D uptake and retention experiments in mixed Li-C deposits; similar experiments in mixed Li/O/B/C deposits; QCM measurements to determine the temperature dependence of diffusion of oxygen into bulk lithium and various strategies for removing contamination from lithium surfaces; Li wetting experiments on TZM and 316 stainless steel and measurements related to strategies to enhance wetting by liquid Li and Sn of potential containers inside NSTX-U.
This presentation should precede the more detailed presentations: Skinner - Textured Mo XMP; Skinner - Effect of B conditioning.</t>
  </si>
  <si>
    <t>Low triangularity discharges preferred to maximize flux on MAPP samples</t>
  </si>
  <si>
    <t>0B5-iztf28QNJcjZvRkQ5WFV2TGc</t>
  </si>
  <si>
    <t>https://docs.google.com/open?id=0B5-iztf28QNJcjZvRkQ5WFV2TGc</t>
  </si>
  <si>
    <t>Doc Created @ Tue Feb 24 2015 13:27:15 GMT-0500 (EST); Doc Merged @ Tue Feb 24 2015 13:27:16 GMT-0500 (EST); Email Sent @ Tue Feb 24 2015 13:27:21 GMT-0500 (EST)(bkoel@princeton.edu,nstx-u@pppl.gov)</t>
  </si>
  <si>
    <t>0B5-iztf28QNJNm9HVWkxRUFHTmM</t>
  </si>
  <si>
    <t>https://docs.google.com/open?id=0B5-iztf28QNJNm9HVWkxRUFHTmM</t>
  </si>
  <si>
    <t>Doc Created @ Wed Feb 25 2015 07:00:14 GMT-0500 (EST); Doc Merged @ Wed Feb 25 2015 07:00:15 GMT-0500 (EST)</t>
  </si>
  <si>
    <t>Impact of the edge current produced by CHI on the pedestal stbility</t>
  </si>
  <si>
    <t xml:space="preserve">The goal of this experiment is to explore the effects of CHI generated current on the pedestal stability. One approach would be to run CHI (with current of a few kA) into an ELMy discharges and assess its impact on the pedestal structure. If successful, it would be worth considering modulating the CHI at various frequencies. </t>
  </si>
  <si>
    <t>0B5-iztf28QNJTzdrLWoybkFxUGM</t>
  </si>
  <si>
    <t>https://docs.google.com/open?id=0B5-iztf28QNJTzdrLWoybkFxUGM</t>
  </si>
  <si>
    <t>Doc Created @ Tue Feb 24 2015 18:33:48 GMT-0500 (EST); Doc Merged @ Tue Feb 24 2015 18:33:49 GMT-0500 (EST); Email Sent @ Tue Feb 24 2015 18:33:55 GMT-0500 (EST)(adiallo@pppl.gov,nstx-u@pppl.gov)</t>
  </si>
  <si>
    <t>0B5-iztf28QNJX19tUkxrNDlYRkk</t>
  </si>
  <si>
    <t>https://docs.google.com/open?id=0B5-iztf28QNJX19tUkxrNDlYRkk</t>
  </si>
  <si>
    <t>Doc Created @ Wed Feb 25 2015 07:00:23 GMT-0500 (EST); Doc Merged @ Wed Feb 25 2015 07:00:24 GMT-0500 (EST)</t>
  </si>
  <si>
    <t>Density Control with 3D coils</t>
  </si>
  <si>
    <t>3D coils may be a strong density control tool.
MAST, DIII-D showed density pump-out result using the 3D coils. Previously, not strong pump-out observed at NSTX. Revisit density pump out with 3D coil at NSTX-U  to see if we achieve strong density pump in new scenarios at NSTX-U. 
We would like to do a fine scan of q95 to find resonance window. Low q95 would be the first place to search these windows.
There is also possible interaction of ELM Suppression/Reduction in these regimes. We would like to study this interaction. 
</t>
  </si>
  <si>
    <t>3D coils working</t>
  </si>
  <si>
    <t>0B5-iztf28QNJaEpXeERQZG5PdXc</t>
  </si>
  <si>
    <t>https://docs.google.com/open?id=0B5-iztf28QNJaEpXeERQZG5PdXc</t>
  </si>
  <si>
    <t>Doc Created @ Thu Feb 26 2015 18:27:02 GMT-0500 (EST); Doc Merged @ Thu Feb 26 2015 18:27:03 GMT-0500 (EST); Email Sent @ Thu Feb 26 2015 18:27:09 GMT-0500 (EST)(ekolemen@pppl.gov,nstx-u@pppl.gov)</t>
  </si>
  <si>
    <t>0B5-iztf28QNJVnMxaGlRQnRVZEk</t>
  </si>
  <si>
    <t>https://docs.google.com/open?id=0B5-iztf28QNJVnMxaGlRQnRVZEk</t>
  </si>
  <si>
    <t>Doc Created @ Thu Feb 26 2015 18:21:10 GMT-0500 (EST); Doc Merged @ Thu Feb 26 2015 18:21:11 GMT-0500 (EST)</t>
  </si>
  <si>
    <t>Adaptive EFC Checkout</t>
  </si>
  <si>
    <t>All (by increasing operation range)</t>
  </si>
  <si>
    <t>Adaptive EFC checkout (it was put in an incorrect place) moving to Cross-Cutting</t>
  </si>
  <si>
    <t>3D coils</t>
  </si>
  <si>
    <t>0B5-iztf28QNJYi03VHgzYXQzTVU</t>
  </si>
  <si>
    <t>https://docs.google.com/open?id=0B5-iztf28QNJYi03VHgzYXQzTVU</t>
  </si>
  <si>
    <t>Doc Created @ Thu Feb 26 2015 11:15:38 GMT-0500 (EST); Doc Merged @ Thu Feb 26 2015 11:15:38 GMT-0500 (EST); Email Sent @ Thu Feb 26 2015 11:15:42 GMT-0500 (EST)(ekolemen@pppl.gov,nstx-u@pppl.gov)</t>
  </si>
  <si>
    <t>0B5-iztf28QNJQ3lfVU5pN1ZfTmc</t>
  </si>
  <si>
    <t>https://docs.google.com/open?id=0B5-iztf28QNJQ3lfVU5pN1ZfTmc</t>
  </si>
  <si>
    <t>Doc Created @ Thu Feb 26 2015 18:21:29 GMT-0500 (EST); Doc Merged @ Thu Feb 26 2015 18:21:30 GMT-0500 (EST)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</si>
</sst>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10">
    <font>
      <sz val="10.0"/>
      <name val="Arial"/>
    </font>
    <font>
      <b/>
    </font>
    <font>
      <b/>
      <color rgb="FF000000"/>
    </font>
    <font/>
    <font>
      <u/>
      <color rgb="FF0000FF"/>
    </font>
    <font>
      <u/>
      <color rgb="FF0000FF"/>
    </font>
    <font>
      <u/>
      <color rgb="FF0000FF"/>
    </font>
    <font>
      <u/>
      <color rgb="FF0000FF"/>
    </font>
    <font>
      <u/>
      <color rgb="FF0000FF"/>
    </font>
    <font>
      <u/>
      <color rgb="FF0000FF"/>
    </font>
  </fonts>
  <fills count="3">
    <fill>
      <patternFill patternType="none"/>
    </fill>
    <fill>
      <patternFill patternType="lightGray"/>
    </fill>
    <fill>
      <patternFill patternType="solid">
        <fgColor rgb="FFEFEFEF"/>
        <bgColor rgb="FFEFEFEF"/>
      </patternFill>
    </fill>
  </fills>
  <borders count="2">
    <border>
      <left/>
      <right/>
      <top/>
      <bottom/>
      <diagonal/>
    </border>
    <border>
      <left/>
      <right/>
      <top/>
      <bottom/>
    </border>
  </borders>
  <cellStyleXfs count="1">
    <xf borderId="0" fillId="0" fontId="0" numFmtId="0"/>
  </cellStyleXfs>
  <cellXfs count="26">
    <xf borderId="0" fillId="0" fontId="0" numFmtId="0"/>
    <xf borderId="1" fillId="0" fontId="1" numFmtId="0" xfId="0" applyAlignment="1" applyFont="1">
      <alignment horizontal="center" vertical="center" wrapText="1"/>
    </xf>
    <xf borderId="1" fillId="2" fontId="2" numFmtId="0" xfId="0" applyAlignment="1" applyFill="1" applyFont="1">
      <alignment horizontal="center" vertical="center" wrapText="1"/>
    </xf>
    <xf borderId="1" fillId="2" fontId="2" numFmtId="0" xfId="0" applyAlignment="1" applyFont="1">
      <alignment horizontal="center" vertical="center" wrapText="1"/>
    </xf>
    <xf borderId="1" fillId="2" fontId="2" numFmtId="0" xfId="0" applyAlignment="1" applyFont="1">
      <alignment horizontal="center" vertical="center"/>
    </xf>
    <xf borderId="1" fillId="0" fontId="3" numFmtId="164" xfId="0" applyAlignment="1" applyFont="1" applyNumberFormat="1">
      <alignment vertical="center"/>
    </xf>
    <xf borderId="1" fillId="0" fontId="3" numFmtId="0" xfId="0" applyAlignment="1" applyFont="1">
      <alignment vertical="center" wrapText="1"/>
    </xf>
    <xf borderId="1" fillId="0" fontId="3" numFmtId="0" xfId="0" applyAlignment="1" applyFont="1">
      <alignment vertical="center"/>
    </xf>
    <xf borderId="1" fillId="0" fontId="4" numFmtId="0" xfId="0" applyAlignment="1" applyFont="1">
      <alignment vertical="center"/>
    </xf>
    <xf borderId="1" fillId="0" fontId="5" numFmtId="0" xfId="0" applyAlignment="1" applyFont="1">
      <alignment horizontal="left" vertical="center"/>
    </xf>
    <xf borderId="1" fillId="0" fontId="3" numFmtId="0" xfId="0" applyAlignment="1" applyFont="1">
      <alignment vertical="center"/>
    </xf>
    <xf borderId="1" fillId="0" fontId="3" numFmtId="0" xfId="0" applyAlignment="1" applyFont="1">
      <alignment vertical="center" wrapText="1"/>
    </xf>
    <xf borderId="1" fillId="0" fontId="6" numFmtId="0" xfId="0" applyAlignment="1" applyFont="1">
      <alignment vertical="center"/>
    </xf>
    <xf borderId="1" fillId="0" fontId="3" numFmtId="0" xfId="0" applyAlignment="1" applyFont="1">
      <alignment/>
    </xf>
    <xf borderId="1" fillId="0" fontId="3" numFmtId="0" xfId="0" applyAlignment="1" applyFont="1">
      <alignment vertical="center"/>
    </xf>
    <xf borderId="1" fillId="0" fontId="3" numFmtId="0" xfId="0" applyFont="1"/>
    <xf borderId="1" fillId="0" fontId="7" numFmtId="0" xfId="0" applyAlignment="1" applyFont="1">
      <alignment horizontal="left" vertical="center"/>
    </xf>
    <xf borderId="1" fillId="0" fontId="3" numFmtId="164" xfId="0" applyAlignment="1" applyFont="1" applyNumberFormat="1">
      <alignment/>
    </xf>
    <xf borderId="1" fillId="0" fontId="8" numFmtId="0" xfId="0" applyAlignment="1" applyFont="1">
      <alignment/>
    </xf>
    <xf borderId="1" fillId="0" fontId="9" numFmtId="0" xfId="0" applyFont="1"/>
    <xf borderId="1" fillId="0" fontId="3" numFmtId="0" xfId="0" applyAlignment="1" applyFont="1">
      <alignment/>
    </xf>
    <xf borderId="1" fillId="0" fontId="3" numFmtId="0" xfId="0" applyAlignment="1" applyFont="1">
      <alignment wrapText="1"/>
    </xf>
    <xf borderId="1" fillId="0" fontId="3" numFmtId="0" xfId="0" applyAlignment="1" applyFont="1">
      <alignment vertical="center" wrapText="1"/>
    </xf>
    <xf borderId="1" fillId="0" fontId="3" numFmtId="0" xfId="0" applyAlignment="1" applyFont="1">
      <alignment horizontal="left" vertical="center"/>
    </xf>
    <xf borderId="1" fillId="0" fontId="3" numFmtId="0" xfId="0" applyAlignment="1" applyFont="1">
      <alignment vertical="center"/>
    </xf>
    <xf borderId="1" fillId="0" fontId="3" numFmtId="0" xfId="0" applyAlignment="1" applyFont="1">
      <alignment vertical="center" wrapText="1"/>
    </xf>
  </cellXfs>
  <cellStyles count="1">
    <cellStyle xfId="0" name="Normal" builtinId="0"/>
  </cellStyles>
  <dxfs count="0"/>
  <tableStyles count="0" defaultPivotStyle="PivotStyleMedium4" defaultTableStyle="TableStyleMedium9"/>
</styleSheet>
</file>

<file path=xl/_rels/workbook.xml.rels><?xml version="1.0" encoding="UTF-8" standalone="yes"?><Relationships xmlns="http://schemas.openxmlformats.org/package/2006/relationships"><Relationship Id="rId2" Type="http://schemas.openxmlformats.org/officeDocument/2006/relationships/sharedStrings" Target="sharedStrings.xml"/><Relationship Id="rId1" Type="http://schemas.openxmlformats.org/officeDocument/2006/relationships/styles" Target="styles.xml"/><Relationship Id="rId4" Type="http://schemas.openxmlformats.org/officeDocument/2006/relationships/worksheet" Target="worksheets/sheet2.xml"/><Relationship Id="rId3" Type="http://schemas.openxmlformats.org/officeDocument/2006/relationships/worksheet" Target="worksheets/sheet3.xml"/><Relationship Id="rId5"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_rels/sheet3.xml.rels><?xml version="1.0" encoding="UTF-8" standalone="yes"?><Relationships xmlns="http://schemas.openxmlformats.org/package/2006/relationships"><Relationship Id="rId429" Type="http://schemas.openxmlformats.org/officeDocument/2006/relationships/hyperlink" Target="https://docs.google.com/open?id=0B5-iztf28QNJYnBrUHpPcjF4SEE" TargetMode="External"/><Relationship Id="rId428" Type="http://schemas.openxmlformats.org/officeDocument/2006/relationships/hyperlink" Target="https://docs.google.com/open?id=0B5-iztf28QNJYnBrUHpPcjF4SEE" TargetMode="External"/><Relationship Id="rId427" Type="http://schemas.openxmlformats.org/officeDocument/2006/relationships/hyperlink" Target="https://docs.google.com/open?id=0B5-iztf28QNJX2M0U1NUWmhIdW8" TargetMode="External"/><Relationship Id="rId426" Type="http://schemas.openxmlformats.org/officeDocument/2006/relationships/hyperlink" Target="https://docs.google.com/open?id=0B5-iztf28QNJX2M0U1NUWmhIdW8" TargetMode="External"/><Relationship Id="rId425" Type="http://schemas.openxmlformats.org/officeDocument/2006/relationships/hyperlink" Target="https://docs.google.com/open?id=0B5-iztf28QNJUHRTM2kzbXFCenM" TargetMode="External"/><Relationship Id="rId424" Type="http://schemas.openxmlformats.org/officeDocument/2006/relationships/hyperlink" Target="https://docs.google.com/open?id=0B5-iztf28QNJUHRTM2kzbXFCenM" TargetMode="External"/><Relationship Id="rId423" Type="http://schemas.openxmlformats.org/officeDocument/2006/relationships/hyperlink" Target="https://docs.google.com/open?id=0B5-iztf28QNJSEFIRHc3RzJOTnM" TargetMode="External"/><Relationship Id="rId422" Type="http://schemas.openxmlformats.org/officeDocument/2006/relationships/hyperlink" Target="https://docs.google.com/open?id=0B5-iztf28QNJSEFIRHc3RzJOTnM" TargetMode="External"/><Relationship Id="rId617" Type="http://schemas.openxmlformats.org/officeDocument/2006/relationships/hyperlink" Target="https://docs.google.com/open?id=0B5-iztf28QNJcWhITVNwQk9Pc2M" TargetMode="External"/><Relationship Id="rId421" Type="http://schemas.openxmlformats.org/officeDocument/2006/relationships/hyperlink" Target="https://docs.google.com/open?id=0B5-iztf28QNJMnJaSlBkX3pnb2c" TargetMode="External"/><Relationship Id="rId616" Type="http://schemas.openxmlformats.org/officeDocument/2006/relationships/hyperlink" Target="https://docs.google.com/open?id=0B5-iztf28QNJcWhITVNwQk9Pc2M" TargetMode="External"/><Relationship Id="rId420" Type="http://schemas.openxmlformats.org/officeDocument/2006/relationships/hyperlink" Target="https://docs.google.com/open?id=0B5-iztf28QNJMnJaSlBkX3pnb2c" TargetMode="External"/><Relationship Id="rId615" Type="http://schemas.openxmlformats.org/officeDocument/2006/relationships/hyperlink" Target="https://docs.google.com/open?id=0B5-iztf28QNJblctUGJDamxzcEU" TargetMode="External"/><Relationship Id="rId614" Type="http://schemas.openxmlformats.org/officeDocument/2006/relationships/hyperlink" Target="https://docs.google.com/open?id=0B5-iztf28QNJblctUGJDamxzcEU" TargetMode="External"/><Relationship Id="rId819" Type="http://schemas.openxmlformats.org/officeDocument/2006/relationships/hyperlink" Target="https://docs.google.com/open?id=0B5-iztf28QNJb0lpQlZ1RGp2RWs" TargetMode="External"/><Relationship Id="rId613" Type="http://schemas.openxmlformats.org/officeDocument/2006/relationships/hyperlink" Target="https://docs.google.com/open?id=0B5-iztf28QNJRFRwRGRPYmFfbjA" TargetMode="External"/><Relationship Id="rId818" Type="http://schemas.openxmlformats.org/officeDocument/2006/relationships/hyperlink" Target="https://docs.google.com/open?id=0B5-iztf28QNJb0lpQlZ1RGp2RWs" TargetMode="External"/><Relationship Id="rId612" Type="http://schemas.openxmlformats.org/officeDocument/2006/relationships/hyperlink" Target="https://docs.google.com/open?id=0B5-iztf28QNJRFRwRGRPYmFfbjA" TargetMode="External"/><Relationship Id="rId817" Type="http://schemas.openxmlformats.org/officeDocument/2006/relationships/hyperlink" Target="https://docs.google.com/open?id=0B5-iztf28QNJcUhHN1ZBdkQtVFE" TargetMode="External"/><Relationship Id="rId611" Type="http://schemas.openxmlformats.org/officeDocument/2006/relationships/hyperlink" Target="https://docs.google.com/open?id=0B5-iztf28QNJUVdJTTRXSVFvQms" TargetMode="External"/><Relationship Id="rId816" Type="http://schemas.openxmlformats.org/officeDocument/2006/relationships/hyperlink" Target="https://docs.google.com/open?id=0B5-iztf28QNJcUhHN1ZBdkQtVFE" TargetMode="External"/><Relationship Id="rId610" Type="http://schemas.openxmlformats.org/officeDocument/2006/relationships/hyperlink" Target="https://docs.google.com/open?id=0B5-iztf28QNJUVdJTTRXSVFvQms" TargetMode="External"/><Relationship Id="rId814" Type="http://schemas.openxmlformats.org/officeDocument/2006/relationships/hyperlink" Target="https://docs.google.com/open?id=0B5-iztf28QNJTHFWU2hOZTBrUnc" TargetMode="External"/><Relationship Id="rId223" Type="http://schemas.openxmlformats.org/officeDocument/2006/relationships/hyperlink" Target="https://docs.google.com/open?id=0B5-iztf28QNJQzhtUGJ3YkNlRFk" TargetMode="External"/><Relationship Id="rId815" Type="http://schemas.openxmlformats.org/officeDocument/2006/relationships/hyperlink" Target="https://docs.google.com/open?id=0B5-iztf28QNJTHFWU2hOZTBrUnc" TargetMode="External"/><Relationship Id="rId224" Type="http://schemas.openxmlformats.org/officeDocument/2006/relationships/hyperlink" Target="https://docs.google.com/open?id=0B5-iztf28QNJLXVQeEJSMk40Rlk" TargetMode="External"/><Relationship Id="rId812" Type="http://schemas.openxmlformats.org/officeDocument/2006/relationships/hyperlink" Target="https://docs.google.com/open?id=0B5-iztf28QNJendOWVR2X3lfTjQ" TargetMode="External"/><Relationship Id="rId221" Type="http://schemas.openxmlformats.org/officeDocument/2006/relationships/hyperlink" Target="https://docs.google.com/open?id=0B5-iztf28QNJSVNsbkdLRE1EaFU" TargetMode="External"/><Relationship Id="rId813" Type="http://schemas.openxmlformats.org/officeDocument/2006/relationships/hyperlink" Target="https://docs.google.com/open?id=0B5-iztf28QNJendOWVR2X3lfTjQ" TargetMode="External"/><Relationship Id="rId222" Type="http://schemas.openxmlformats.org/officeDocument/2006/relationships/hyperlink" Target="https://docs.google.com/open?id=0B5-iztf28QNJQzhtUGJ3YkNlRFk" TargetMode="External"/><Relationship Id="rId810" Type="http://schemas.openxmlformats.org/officeDocument/2006/relationships/hyperlink" Target="https://docs.google.com/open?id=0B5-iztf28QNJV0RseWczOVBlNWM" TargetMode="External"/><Relationship Id="rId811" Type="http://schemas.openxmlformats.org/officeDocument/2006/relationships/hyperlink" Target="https://docs.google.com/open?id=0B5-iztf28QNJV0RseWczOVBlNWM" TargetMode="External"/><Relationship Id="rId220" Type="http://schemas.openxmlformats.org/officeDocument/2006/relationships/hyperlink" Target="https://docs.google.com/open?id=0B5-iztf28QNJSVNsbkdLRE1EaFU" TargetMode="External"/><Relationship Id="rId618" Type="http://schemas.openxmlformats.org/officeDocument/2006/relationships/hyperlink" Target="https://docs.google.com/open?id=0B5-iztf28QNJS3JGQnU5RWVwTHc" TargetMode="External"/><Relationship Id="rId619" Type="http://schemas.openxmlformats.org/officeDocument/2006/relationships/hyperlink" Target="https://docs.google.com/open?id=0B5-iztf28QNJS3JGQnU5RWVwTHc" TargetMode="External"/><Relationship Id="rId229" Type="http://schemas.openxmlformats.org/officeDocument/2006/relationships/hyperlink" Target="https://docs.google.com/open?id=0B5-iztf28QNJQUg2S1pjX3lqQXc" TargetMode="External"/><Relationship Id="rId227" Type="http://schemas.openxmlformats.org/officeDocument/2006/relationships/hyperlink" Target="https://docs.google.com/open?id=0B5-iztf28QNJQzYtZ3V1RDVNWDQ" TargetMode="External"/><Relationship Id="rId228" Type="http://schemas.openxmlformats.org/officeDocument/2006/relationships/hyperlink" Target="https://docs.google.com/open?id=0B5-iztf28QNJQUg2S1pjX3lqQXc" TargetMode="External"/><Relationship Id="rId225" Type="http://schemas.openxmlformats.org/officeDocument/2006/relationships/hyperlink" Target="https://docs.google.com/open?id=0B5-iztf28QNJLXVQeEJSMk40Rlk" TargetMode="External"/><Relationship Id="rId226" Type="http://schemas.openxmlformats.org/officeDocument/2006/relationships/hyperlink" Target="https://docs.google.com/open?id=0B5-iztf28QNJQzYtZ3V1RDVNWDQ" TargetMode="External"/><Relationship Id="rId417" Type="http://schemas.openxmlformats.org/officeDocument/2006/relationships/hyperlink" Target="https://docs.google.com/open?id=0B5-iztf28QNJTzVpbVBIRURVQnc" TargetMode="External"/><Relationship Id="rId416" Type="http://schemas.openxmlformats.org/officeDocument/2006/relationships/hyperlink" Target="https://docs.google.com/open?id=0B5-iztf28QNJTzVpbVBIRURVQnc" TargetMode="External"/><Relationship Id="rId419" Type="http://schemas.openxmlformats.org/officeDocument/2006/relationships/hyperlink" Target="https://docs.google.com/open?id=0B5-iztf28QNJU0h4NWhFb3ViWUk" TargetMode="External"/><Relationship Id="rId620" Type="http://schemas.openxmlformats.org/officeDocument/2006/relationships/hyperlink" Target="https://docs.google.com/open?id=0B5-iztf28QNJa19md1l2R2E4MUU" TargetMode="External"/><Relationship Id="rId418" Type="http://schemas.openxmlformats.org/officeDocument/2006/relationships/hyperlink" Target="https://docs.google.com/open?id=0B5-iztf28QNJU0h4NWhFb3ViWUk" TargetMode="External"/><Relationship Id="rId413" Type="http://schemas.openxmlformats.org/officeDocument/2006/relationships/hyperlink" Target="https://docs.google.com/open?id=0B5-iztf28QNJUUFVVmNHaDFyS1E" TargetMode="External"/><Relationship Id="rId412" Type="http://schemas.openxmlformats.org/officeDocument/2006/relationships/hyperlink" Target="https://docs.google.com/open?id=0B5-iztf28QNJUUFVVmNHaDFyS1E" TargetMode="External"/><Relationship Id="rId415" Type="http://schemas.openxmlformats.org/officeDocument/2006/relationships/hyperlink" Target="https://docs.google.com/open?id=0B5-iztf28QNJSVMzWTRIVjJzaUU" TargetMode="External"/><Relationship Id="rId414" Type="http://schemas.openxmlformats.org/officeDocument/2006/relationships/hyperlink" Target="https://docs.google.com/open?id=0B5-iztf28QNJSVMzWTRIVjJzaUU" TargetMode="External"/><Relationship Id="rId626" Type="http://schemas.openxmlformats.org/officeDocument/2006/relationships/hyperlink" Target="https://docs.google.com/open?id=0B5-iztf28QNJRTY5ZGNnR3lDYUE" TargetMode="External"/><Relationship Id="rId625" Type="http://schemas.openxmlformats.org/officeDocument/2006/relationships/hyperlink" Target="https://docs.google.com/open?id=0B5-iztf28QNJSmlDRWUya2pvU3M" TargetMode="External"/><Relationship Id="rId411" Type="http://schemas.openxmlformats.org/officeDocument/2006/relationships/hyperlink" Target="https://docs.google.com/open?id=0B5-iztf28QNJeUdXdmJBemRUYUE" TargetMode="External"/><Relationship Id="rId628" Type="http://schemas.openxmlformats.org/officeDocument/2006/relationships/hyperlink" Target="https://docs.google.com/open?id=0B5-iztf28QNJMmI3RG5KT2JyNU0" TargetMode="External"/><Relationship Id="rId410" Type="http://schemas.openxmlformats.org/officeDocument/2006/relationships/hyperlink" Target="https://docs.google.com/open?id=0B5-iztf28QNJeUdXdmJBemRUYUE" TargetMode="External"/><Relationship Id="rId627" Type="http://schemas.openxmlformats.org/officeDocument/2006/relationships/hyperlink" Target="https://docs.google.com/open?id=0B5-iztf28QNJRTY5ZGNnR3lDYUE" TargetMode="External"/><Relationship Id="rId828" Type="http://schemas.openxmlformats.org/officeDocument/2006/relationships/hyperlink" Target="https://docs.google.com/open?id=0B5-iztf28QNJZWNFWjBjUjVqZU0" TargetMode="External"/><Relationship Id="rId622" Type="http://schemas.openxmlformats.org/officeDocument/2006/relationships/hyperlink" Target="https://docs.google.com/open?id=0B5-iztf28QNJSzVQX0trdk9IeUk" TargetMode="External"/><Relationship Id="rId827" Type="http://schemas.openxmlformats.org/officeDocument/2006/relationships/hyperlink" Target="https://docs.google.com/open?id=0B5-iztf28QNJTkxWZlJLS3RFSUk" TargetMode="External"/><Relationship Id="rId621" Type="http://schemas.openxmlformats.org/officeDocument/2006/relationships/hyperlink" Target="https://docs.google.com/open?id=0B5-iztf28QNJa19md1l2R2E4MUU" TargetMode="External"/><Relationship Id="rId624" Type="http://schemas.openxmlformats.org/officeDocument/2006/relationships/hyperlink" Target="https://docs.google.com/open?id=0B5-iztf28QNJSmlDRWUya2pvU3M" TargetMode="External"/><Relationship Id="rId829" Type="http://schemas.openxmlformats.org/officeDocument/2006/relationships/hyperlink" Target="https://docs.google.com/open?id=0B5-iztf28QNJZWNFWjBjUjVqZU0" TargetMode="External"/><Relationship Id="rId623" Type="http://schemas.openxmlformats.org/officeDocument/2006/relationships/hyperlink" Target="https://docs.google.com/open?id=0B5-iztf28QNJSzVQX0trdk9IeUk" TargetMode="External"/><Relationship Id="rId823" Type="http://schemas.openxmlformats.org/officeDocument/2006/relationships/hyperlink" Target="https://docs.google.com/open?id=0B5-iztf28QNJNC1UanJZeTdfcHc" TargetMode="External"/><Relationship Id="rId210" Type="http://schemas.openxmlformats.org/officeDocument/2006/relationships/hyperlink" Target="https://docs.google.com/open?id=0B5-iztf28QNJZ0c4elBYdWgyZWM" TargetMode="External"/><Relationship Id="rId824" Type="http://schemas.openxmlformats.org/officeDocument/2006/relationships/hyperlink" Target="https://docs.google.com/open?id=0B5-iztf28QNJaFZSM3RlQXczM2s" TargetMode="External"/><Relationship Id="rId211" Type="http://schemas.openxmlformats.org/officeDocument/2006/relationships/hyperlink" Target="https://docs.google.com/open?id=0B5-iztf28QNJZ0c4elBYdWgyZWM" TargetMode="External"/><Relationship Id="rId825" Type="http://schemas.openxmlformats.org/officeDocument/2006/relationships/hyperlink" Target="https://docs.google.com/open?id=0B5-iztf28QNJaFZSM3RlQXczM2s" TargetMode="External"/><Relationship Id="rId212" Type="http://schemas.openxmlformats.org/officeDocument/2006/relationships/hyperlink" Target="https://docs.google.com/open?id=0B5-iztf28QNJVVRmelo1RlBRZzA" TargetMode="External"/><Relationship Id="rId826" Type="http://schemas.openxmlformats.org/officeDocument/2006/relationships/hyperlink" Target="https://docs.google.com/open?id=0B5-iztf28QNJTkxWZlJLS3RFSUk" TargetMode="External"/><Relationship Id="rId213" Type="http://schemas.openxmlformats.org/officeDocument/2006/relationships/hyperlink" Target="https://docs.google.com/open?id=0B5-iztf28QNJVVRmelo1RlBRZzA" TargetMode="External"/><Relationship Id="rId629" Type="http://schemas.openxmlformats.org/officeDocument/2006/relationships/hyperlink" Target="https://docs.google.com/open?id=0B5-iztf28QNJMmI3RG5KT2JyNU0" TargetMode="External"/><Relationship Id="rId820" Type="http://schemas.openxmlformats.org/officeDocument/2006/relationships/hyperlink" Target="https://docs.google.com/open?id=0B5-iztf28QNJX0IzcHhUeEtaMmM" TargetMode="External"/><Relationship Id="rId821" Type="http://schemas.openxmlformats.org/officeDocument/2006/relationships/hyperlink" Target="https://docs.google.com/open?id=0B5-iztf28QNJX0IzcHhUeEtaMmM" TargetMode="External"/><Relationship Id="rId822" Type="http://schemas.openxmlformats.org/officeDocument/2006/relationships/hyperlink" Target="https://docs.google.com/open?id=0B5-iztf28QNJNC1UanJZeTdfcHc" TargetMode="External"/><Relationship Id="rId218" Type="http://schemas.openxmlformats.org/officeDocument/2006/relationships/hyperlink" Target="https://docs.google.com/open?id=0B5-iztf28QNJYThlTVpBdGtENzA" TargetMode="External"/><Relationship Id="rId219" Type="http://schemas.openxmlformats.org/officeDocument/2006/relationships/hyperlink" Target="https://docs.google.com/open?id=0B5-iztf28QNJYThlTVpBdGtENzA" TargetMode="External"/><Relationship Id="rId214" Type="http://schemas.openxmlformats.org/officeDocument/2006/relationships/hyperlink" Target="https://docs.google.com/open?id=0B5-iztf28QNJOUloMXl4d01vS2M" TargetMode="External"/><Relationship Id="rId215" Type="http://schemas.openxmlformats.org/officeDocument/2006/relationships/hyperlink" Target="https://docs.google.com/open?id=0B5-iztf28QNJOUloMXl4d01vS2M" TargetMode="External"/><Relationship Id="rId216" Type="http://schemas.openxmlformats.org/officeDocument/2006/relationships/hyperlink" Target="https://docs.google.com/open?id=0B5-iztf28QNJVGxXRjNZQkpsQUk" TargetMode="External"/><Relationship Id="rId217" Type="http://schemas.openxmlformats.org/officeDocument/2006/relationships/hyperlink" Target="https://docs.google.com/open?id=0B5-iztf28QNJVGxXRjNZQkpsQUk" TargetMode="External"/><Relationship Id="rId448" Type="http://schemas.openxmlformats.org/officeDocument/2006/relationships/hyperlink" Target="https://docs.google.com/open?id=0B5-iztf28QNJV0N4WE0zTFpvdjQ" TargetMode="External"/><Relationship Id="rId447" Type="http://schemas.openxmlformats.org/officeDocument/2006/relationships/hyperlink" Target="https://docs.google.com/open?id=0B5-iztf28QNJNUtTS3liOFVKZ3M" TargetMode="External"/><Relationship Id="rId446" Type="http://schemas.openxmlformats.org/officeDocument/2006/relationships/hyperlink" Target="https://docs.google.com/open?id=0B5-iztf28QNJNUtTS3liOFVKZ3M" TargetMode="External"/><Relationship Id="rId445" Type="http://schemas.openxmlformats.org/officeDocument/2006/relationships/hyperlink" Target="https://docs.google.com/open?id=0B5-iztf28QNJSDFWSXdTRm1iUlk" TargetMode="External"/><Relationship Id="rId631" Type="http://schemas.openxmlformats.org/officeDocument/2006/relationships/hyperlink" Target="https://docs.google.com/open?id=0B5-iztf28QNJY3BjN3M1REx1dEk" TargetMode="External"/><Relationship Id="rId630" Type="http://schemas.openxmlformats.org/officeDocument/2006/relationships/hyperlink" Target="https://docs.google.com/open?id=0B5-iztf28QNJY3BjN3M1REx1dEk" TargetMode="External"/><Relationship Id="rId449" Type="http://schemas.openxmlformats.org/officeDocument/2006/relationships/hyperlink" Target="https://docs.google.com/open?id=0B5-iztf28QNJV0N4WE0zTFpvdjQ" TargetMode="External"/><Relationship Id="rId440" Type="http://schemas.openxmlformats.org/officeDocument/2006/relationships/hyperlink" Target="https://docs.google.com/open?id=0B5-iztf28QNJcjdCYkU1ektxVEE" TargetMode="External"/><Relationship Id="rId635" Type="http://schemas.openxmlformats.org/officeDocument/2006/relationships/hyperlink" Target="https://docs.google.com/open?id=0B5-iztf28QNJRnVwSHRSMVhteGc" TargetMode="External"/><Relationship Id="rId634" Type="http://schemas.openxmlformats.org/officeDocument/2006/relationships/hyperlink" Target="https://docs.google.com/open?id=0B5-iztf28QNJRnVwSHRSMVhteGc" TargetMode="External"/><Relationship Id="rId839" Type="http://schemas.openxmlformats.org/officeDocument/2006/relationships/hyperlink" Target="https://docs.google.com/open?id=0B5-iztf28QNJS1Y2azM1YlltWFk" TargetMode="External"/><Relationship Id="rId633" Type="http://schemas.openxmlformats.org/officeDocument/2006/relationships/hyperlink" Target="https://docs.google.com/open?id=0B5-iztf28QNJTDF0dWctN1FYWjg" TargetMode="External"/><Relationship Id="rId838" Type="http://schemas.openxmlformats.org/officeDocument/2006/relationships/hyperlink" Target="https://docs.google.com/open?id=0B5-iztf28QNJS1Y2azM1YlltWFk" TargetMode="External"/><Relationship Id="rId632" Type="http://schemas.openxmlformats.org/officeDocument/2006/relationships/hyperlink" Target="https://docs.google.com/open?id=0B5-iztf28QNJTDF0dWctN1FYWjg" TargetMode="External"/><Relationship Id="rId444" Type="http://schemas.openxmlformats.org/officeDocument/2006/relationships/hyperlink" Target="https://docs.google.com/open?id=0B5-iztf28QNJSDFWSXdTRm1iUlk" TargetMode="External"/><Relationship Id="rId639" Type="http://schemas.openxmlformats.org/officeDocument/2006/relationships/hyperlink" Target="https://docs.google.com/open?id=0B5-iztf28QNJUTdESnVoOXpNTGM" TargetMode="External"/><Relationship Id="rId443" Type="http://schemas.openxmlformats.org/officeDocument/2006/relationships/hyperlink" Target="https://docs.google.com/open?id=0B5-iztf28QNJeTVqaXBIZ1d4VEE" TargetMode="External"/><Relationship Id="rId638" Type="http://schemas.openxmlformats.org/officeDocument/2006/relationships/hyperlink" Target="https://docs.google.com/open?id=0B5-iztf28QNJUTdESnVoOXpNTGM" TargetMode="External"/><Relationship Id="rId442" Type="http://schemas.openxmlformats.org/officeDocument/2006/relationships/hyperlink" Target="https://docs.google.com/open?id=0B5-iztf28QNJeTVqaXBIZ1d4VEE" TargetMode="External"/><Relationship Id="rId637" Type="http://schemas.openxmlformats.org/officeDocument/2006/relationships/hyperlink" Target="https://docs.google.com/open?id=0B5-iztf28QNJUURfOV96TkRzem8" TargetMode="External"/><Relationship Id="rId441" Type="http://schemas.openxmlformats.org/officeDocument/2006/relationships/hyperlink" Target="https://docs.google.com/open?id=0B5-iztf28QNJcjdCYkU1ektxVEE" TargetMode="External"/><Relationship Id="rId636" Type="http://schemas.openxmlformats.org/officeDocument/2006/relationships/hyperlink" Target="https://docs.google.com/open?id=0B5-iztf28QNJUURfOV96TkRzem8" TargetMode="External"/><Relationship Id="rId832" Type="http://schemas.openxmlformats.org/officeDocument/2006/relationships/hyperlink" Target="https://docs.google.com/open?id=0B5-iztf28QNJZTNEX1FGdi00NkU" TargetMode="External"/><Relationship Id="rId241" Type="http://schemas.openxmlformats.org/officeDocument/2006/relationships/hyperlink" Target="https://docs.google.com/open?id=0B5-iztf28QNJSVRpNk1QRlk2b0U" TargetMode="External"/><Relationship Id="rId833" Type="http://schemas.openxmlformats.org/officeDocument/2006/relationships/hyperlink" Target="https://docs.google.com/open?id=0B5-iztf28QNJZTNEX1FGdi00NkU" TargetMode="External"/><Relationship Id="rId242" Type="http://schemas.openxmlformats.org/officeDocument/2006/relationships/hyperlink" Target="https://docs.google.com/open?id=0B5-iztf28QNJQnAxdW5NX1Y0S3M" TargetMode="External"/><Relationship Id="rId830" Type="http://schemas.openxmlformats.org/officeDocument/2006/relationships/hyperlink" Target="https://docs.google.com/open?id=0B5-iztf28QNJcHdQa0MyMGh1Vk0" TargetMode="External"/><Relationship Id="rId831" Type="http://schemas.openxmlformats.org/officeDocument/2006/relationships/hyperlink" Target="https://docs.google.com/open?id=0B5-iztf28QNJcHdQa0MyMGh1Vk0" TargetMode="External"/><Relationship Id="rId240" Type="http://schemas.openxmlformats.org/officeDocument/2006/relationships/hyperlink" Target="https://docs.google.com/open?id=0B5-iztf28QNJSVRpNk1QRlk2b0U" TargetMode="External"/><Relationship Id="rId836" Type="http://schemas.openxmlformats.org/officeDocument/2006/relationships/hyperlink" Target="https://docs.google.com/open?id=0B5-iztf28QNJVml5dzU4UDU4QXc" TargetMode="External"/><Relationship Id="rId245" Type="http://schemas.openxmlformats.org/officeDocument/2006/relationships/hyperlink" Target="https://docs.google.com/open?id=0B5-iztf28QNJMEhHc1ZybDV2MWs" TargetMode="External"/><Relationship Id="rId837" Type="http://schemas.openxmlformats.org/officeDocument/2006/relationships/hyperlink" Target="https://docs.google.com/open?id=0B5-iztf28QNJVml5dzU4UDU4QXc" TargetMode="External"/><Relationship Id="rId246" Type="http://schemas.openxmlformats.org/officeDocument/2006/relationships/hyperlink" Target="https://docs.google.com/open?id=0B5-iztf28QNJUThOMUlRS215TmM" TargetMode="External"/><Relationship Id="rId834" Type="http://schemas.openxmlformats.org/officeDocument/2006/relationships/hyperlink" Target="https://docs.google.com/open?id=0B5-iztf28QNJZVNHYzh0aVR4Y2s" TargetMode="External"/><Relationship Id="rId243" Type="http://schemas.openxmlformats.org/officeDocument/2006/relationships/hyperlink" Target="https://docs.google.com/open?id=0B5-iztf28QNJQnAxdW5NX1Y0S3M" TargetMode="External"/><Relationship Id="rId835" Type="http://schemas.openxmlformats.org/officeDocument/2006/relationships/hyperlink" Target="https://docs.google.com/open?id=0B5-iztf28QNJZVNHYzh0aVR4Y2s" TargetMode="External"/><Relationship Id="rId244" Type="http://schemas.openxmlformats.org/officeDocument/2006/relationships/hyperlink" Target="https://docs.google.com/open?id=0B5-iztf28QNJMEhHc1ZybDV2MWs" TargetMode="External"/><Relationship Id="rId249" Type="http://schemas.openxmlformats.org/officeDocument/2006/relationships/hyperlink" Target="https://docs.google.com/open?id=0B5-iztf28QNJV1NpSkJJN01PUEU" TargetMode="External"/><Relationship Id="rId247" Type="http://schemas.openxmlformats.org/officeDocument/2006/relationships/hyperlink" Target="https://docs.google.com/open?id=0B5-iztf28QNJUThOMUlRS215TmM" TargetMode="External"/><Relationship Id="rId248" Type="http://schemas.openxmlformats.org/officeDocument/2006/relationships/hyperlink" Target="https://docs.google.com/open?id=0B5-iztf28QNJV1NpSkJJN01PUEU" TargetMode="External"/><Relationship Id="rId435" Type="http://schemas.openxmlformats.org/officeDocument/2006/relationships/hyperlink" Target="https://docs.google.com/open?id=0B5-iztf28QNJRHFmSzVwQVIzdDg" TargetMode="External"/><Relationship Id="rId434" Type="http://schemas.openxmlformats.org/officeDocument/2006/relationships/hyperlink" Target="https://docs.google.com/open?id=0B5-iztf28QNJRHFmSzVwQVIzdDg" TargetMode="External"/><Relationship Id="rId437" Type="http://schemas.openxmlformats.org/officeDocument/2006/relationships/hyperlink" Target="https://docs.google.com/open?id=0B5-iztf28QNJZUpDc0Mydmw1V3M" TargetMode="External"/><Relationship Id="rId436" Type="http://schemas.openxmlformats.org/officeDocument/2006/relationships/hyperlink" Target="https://docs.google.com/open?id=0B5-iztf28QNJZUpDc0Mydmw1V3M" TargetMode="External"/><Relationship Id="rId439" Type="http://schemas.openxmlformats.org/officeDocument/2006/relationships/hyperlink" Target="https://docs.google.com/open?id=0B5-iztf28QNJcHJyVE1tRmVtbk0" TargetMode="External"/><Relationship Id="rId640" Type="http://schemas.openxmlformats.org/officeDocument/2006/relationships/hyperlink" Target="https://docs.google.com/open?id=0B5-iztf28QNJWFBESU4wX190eG8" TargetMode="External"/><Relationship Id="rId438" Type="http://schemas.openxmlformats.org/officeDocument/2006/relationships/hyperlink" Target="https://docs.google.com/open?id=0B5-iztf28QNJcHJyVE1tRmVtbk0" TargetMode="External"/><Relationship Id="rId642" Type="http://schemas.openxmlformats.org/officeDocument/2006/relationships/hyperlink" Target="https://docs.google.com/open?id=0B5-iztf28QNJX0xVTUM3bTFfeUU" TargetMode="External"/><Relationship Id="rId641" Type="http://schemas.openxmlformats.org/officeDocument/2006/relationships/hyperlink" Target="https://docs.google.com/open?id=0B5-iztf28QNJWFBESU4wX190eG8" TargetMode="External"/><Relationship Id="rId644" Type="http://schemas.openxmlformats.org/officeDocument/2006/relationships/hyperlink" Target="https://docs.google.com/open?id=0B5-iztf28QNJN2hmU2oycVZWVWM" TargetMode="External"/><Relationship Id="rId849" Type="http://schemas.openxmlformats.org/officeDocument/2006/relationships/hyperlink" Target="https://docs.google.com/open?id=0B5-iztf28QNJZkVOVy1KcFg3aWs" TargetMode="External"/><Relationship Id="rId643" Type="http://schemas.openxmlformats.org/officeDocument/2006/relationships/hyperlink" Target="https://docs.google.com/open?id=0B5-iztf28QNJX0xVTUM3bTFfeUU" TargetMode="External"/><Relationship Id="rId646" Type="http://schemas.openxmlformats.org/officeDocument/2006/relationships/hyperlink" Target="https://docs.google.com/open?id=0B5-iztf28QNJaktoN212TURoS0U" TargetMode="External"/><Relationship Id="rId645" Type="http://schemas.openxmlformats.org/officeDocument/2006/relationships/hyperlink" Target="https://docs.google.com/open?id=0B5-iztf28QNJN2hmU2oycVZWVWM" TargetMode="External"/><Relationship Id="rId431" Type="http://schemas.openxmlformats.org/officeDocument/2006/relationships/hyperlink" Target="https://docs.google.com/open?id=0B5-iztf28QNJZDZwdlNhZ090RUk" TargetMode="External"/><Relationship Id="rId648" Type="http://schemas.openxmlformats.org/officeDocument/2006/relationships/hyperlink" Target="https://docs.google.com/open?id=0B5-iztf28QNJNHpsSnozUU5NczQ" TargetMode="External"/><Relationship Id="rId430" Type="http://schemas.openxmlformats.org/officeDocument/2006/relationships/hyperlink" Target="https://docs.google.com/open?id=0B5-iztf28QNJZDZwdlNhZ090RUk" TargetMode="External"/><Relationship Id="rId647" Type="http://schemas.openxmlformats.org/officeDocument/2006/relationships/hyperlink" Target="https://docs.google.com/open?id=0B5-iztf28QNJaktoN212TURoS0U" TargetMode="External"/><Relationship Id="rId433" Type="http://schemas.openxmlformats.org/officeDocument/2006/relationships/hyperlink" Target="https://docs.google.com/open?id=0B5-iztf28QNJdHA0anctZFRydDA" TargetMode="External"/><Relationship Id="rId432" Type="http://schemas.openxmlformats.org/officeDocument/2006/relationships/hyperlink" Target="https://docs.google.com/open?id=0B5-iztf28QNJdHA0anctZFRydDA" TargetMode="External"/><Relationship Id="rId649" Type="http://schemas.openxmlformats.org/officeDocument/2006/relationships/hyperlink" Target="https://docs.google.com/open?id=0B5-iztf28QNJNHpsSnozUU5NczQ" TargetMode="External"/><Relationship Id="rId841" Type="http://schemas.openxmlformats.org/officeDocument/2006/relationships/hyperlink" Target="https://docs.google.com/open?id=0B5-iztf28QNJeHVQMkgtRThfM3M" TargetMode="External"/><Relationship Id="rId842" Type="http://schemas.openxmlformats.org/officeDocument/2006/relationships/hyperlink" Target="https://docs.google.com/open?id=0B5-iztf28QNJcDZ0UnRJNUlDeU0" TargetMode="External"/><Relationship Id="rId843" Type="http://schemas.openxmlformats.org/officeDocument/2006/relationships/hyperlink" Target="https://docs.google.com/open?id=0B5-iztf28QNJcDZ0UnRJNUlDeU0" TargetMode="External"/><Relationship Id="rId230" Type="http://schemas.openxmlformats.org/officeDocument/2006/relationships/hyperlink" Target="https://docs.google.com/open?id=0B5-iztf28QNJS1BTXzIzQnN6alk" TargetMode="External"/><Relationship Id="rId844" Type="http://schemas.openxmlformats.org/officeDocument/2006/relationships/hyperlink" Target="https://docs.google.com/open?id=0B5-iztf28QNJR2toSmtEaUpFdVE" TargetMode="External"/><Relationship Id="rId231" Type="http://schemas.openxmlformats.org/officeDocument/2006/relationships/hyperlink" Target="https://docs.google.com/open?id=0B5-iztf28QNJS1BTXzIzQnN6alk" TargetMode="External"/><Relationship Id="rId845" Type="http://schemas.openxmlformats.org/officeDocument/2006/relationships/hyperlink" Target="https://docs.google.com/open?id=0B5-iztf28QNJR2toSmtEaUpFdVE" TargetMode="External"/><Relationship Id="rId232" Type="http://schemas.openxmlformats.org/officeDocument/2006/relationships/hyperlink" Target="https://docs.google.com/open?id=0B5-iztf28QNJNmNncUswbWZiVzQ" TargetMode="External"/><Relationship Id="rId846" Type="http://schemas.openxmlformats.org/officeDocument/2006/relationships/hyperlink" Target="https://docs.google.com/open?id=0B5-iztf28QNJY3pDOHdJSC14aWc" TargetMode="External"/><Relationship Id="rId233" Type="http://schemas.openxmlformats.org/officeDocument/2006/relationships/hyperlink" Target="https://docs.google.com/open?id=0B5-iztf28QNJNmNncUswbWZiVzQ" TargetMode="External"/><Relationship Id="rId847" Type="http://schemas.openxmlformats.org/officeDocument/2006/relationships/hyperlink" Target="https://docs.google.com/open?id=0B5-iztf28QNJY3pDOHdJSC14aWc" TargetMode="External"/><Relationship Id="rId234" Type="http://schemas.openxmlformats.org/officeDocument/2006/relationships/hyperlink" Target="https://docs.google.com/open?id=0B5-iztf28QNJVXdDRmMzMkgtQ3M" TargetMode="External"/><Relationship Id="rId848" Type="http://schemas.openxmlformats.org/officeDocument/2006/relationships/hyperlink" Target="https://docs.google.com/open?id=0B5-iztf28QNJZkVOVy1KcFg3aWs" TargetMode="External"/><Relationship Id="rId235" Type="http://schemas.openxmlformats.org/officeDocument/2006/relationships/hyperlink" Target="https://docs.google.com/open?id=0B5-iztf28QNJVXdDRmMzMkgtQ3M" TargetMode="External"/><Relationship Id="rId236" Type="http://schemas.openxmlformats.org/officeDocument/2006/relationships/hyperlink" Target="https://docs.google.com/open?id=0B5-iztf28QNJWXdmUEhOVnktV3M" TargetMode="External"/><Relationship Id="rId237" Type="http://schemas.openxmlformats.org/officeDocument/2006/relationships/hyperlink" Target="https://docs.google.com/open?id=0B5-iztf28QNJWXdmUEhOVnktV3M" TargetMode="External"/><Relationship Id="rId238" Type="http://schemas.openxmlformats.org/officeDocument/2006/relationships/hyperlink" Target="https://docs.google.com/open?id=0B5-iztf28QNJR1F5b2RkZUxDamc" TargetMode="External"/><Relationship Id="rId239" Type="http://schemas.openxmlformats.org/officeDocument/2006/relationships/hyperlink" Target="https://docs.google.com/open?id=0B5-iztf28QNJR1F5b2RkZUxDamc" TargetMode="External"/><Relationship Id="rId840" Type="http://schemas.openxmlformats.org/officeDocument/2006/relationships/hyperlink" Target="https://docs.google.com/open?id=0B5-iztf28QNJeHVQMkgtRThfM3M" TargetMode="External"/><Relationship Id="rId465" Type="http://schemas.openxmlformats.org/officeDocument/2006/relationships/hyperlink" Target="https://docs.google.com/open?id=0B5-iztf28QNJeGd6TTNHSmFXV2c" TargetMode="External"/><Relationship Id="rId466" Type="http://schemas.openxmlformats.org/officeDocument/2006/relationships/hyperlink" Target="https://docs.google.com/open?id=0B5-iztf28QNJcUpEaU14V1hPYjQ" TargetMode="External"/><Relationship Id="rId463" Type="http://schemas.openxmlformats.org/officeDocument/2006/relationships/hyperlink" Target="https://docs.google.com/open?id=0B5-iztf28QNJY0x2NWhPZVgzalE" TargetMode="External"/><Relationship Id="rId464" Type="http://schemas.openxmlformats.org/officeDocument/2006/relationships/hyperlink" Target="https://docs.google.com/open?id=0B5-iztf28QNJeGd6TTNHSmFXV2c" TargetMode="External"/><Relationship Id="rId461" Type="http://schemas.openxmlformats.org/officeDocument/2006/relationships/hyperlink" Target="https://docs.google.com/open?id=0B5-iztf28QNJOXd2UVlHbWtHVzA" TargetMode="External"/><Relationship Id="rId462" Type="http://schemas.openxmlformats.org/officeDocument/2006/relationships/hyperlink" Target="https://docs.google.com/open?id=0B5-iztf28QNJY0x2NWhPZVgzalE" TargetMode="External"/><Relationship Id="rId460" Type="http://schemas.openxmlformats.org/officeDocument/2006/relationships/hyperlink" Target="https://docs.google.com/open?id=0B5-iztf28QNJOXd2UVlHbWtHVzA" TargetMode="External"/><Relationship Id="rId469" Type="http://schemas.openxmlformats.org/officeDocument/2006/relationships/hyperlink" Target="https://docs.google.com/open?id=0B5-iztf28QNJX3EwcWRyNjQySk0" TargetMode="External"/><Relationship Id="rId467" Type="http://schemas.openxmlformats.org/officeDocument/2006/relationships/hyperlink" Target="https://docs.google.com/open?id=0B5-iztf28QNJcUpEaU14V1hPYjQ" TargetMode="External"/><Relationship Id="rId468" Type="http://schemas.openxmlformats.org/officeDocument/2006/relationships/hyperlink" Target="https://docs.google.com/open?id=0B5-iztf28QNJX3EwcWRyNjQySk0" TargetMode="External"/><Relationship Id="rId851" Type="http://schemas.openxmlformats.org/officeDocument/2006/relationships/hyperlink" Target="https://docs.google.com/open?id=0B5-iztf28QNJenplVFdIZmcwbVk" TargetMode="External"/><Relationship Id="rId850" Type="http://schemas.openxmlformats.org/officeDocument/2006/relationships/hyperlink" Target="https://docs.google.com/open?id=0B5-iztf28QNJenplVFdIZmcwbVk" TargetMode="External"/><Relationship Id="rId859" Type="http://schemas.openxmlformats.org/officeDocument/2006/relationships/hyperlink" Target="https://docs.google.com/open?id=0B5-iztf28QNJTERhVGdNMXpnT2s" TargetMode="External"/><Relationship Id="rId858" Type="http://schemas.openxmlformats.org/officeDocument/2006/relationships/hyperlink" Target="https://docs.google.com/open?id=0B5-iztf28QNJTERhVGdNMXpnT2s" TargetMode="External"/><Relationship Id="rId857" Type="http://schemas.openxmlformats.org/officeDocument/2006/relationships/hyperlink" Target="https://docs.google.com/open?id=0B5-iztf28QNJUHg4c3NSazhpcEU" TargetMode="External"/><Relationship Id="rId856" Type="http://schemas.openxmlformats.org/officeDocument/2006/relationships/hyperlink" Target="https://docs.google.com/open?id=0B5-iztf28QNJUHg4c3NSazhpcEU" TargetMode="External"/><Relationship Id="rId855" Type="http://schemas.openxmlformats.org/officeDocument/2006/relationships/hyperlink" Target="https://docs.google.com/open?id=0B5-iztf28QNJV0NLWVhSWkRhWWc" TargetMode="External"/><Relationship Id="rId854" Type="http://schemas.openxmlformats.org/officeDocument/2006/relationships/hyperlink" Target="https://docs.google.com/open?id=0B5-iztf28QNJV0NLWVhSWkRhWWc" TargetMode="External"/><Relationship Id="rId853" Type="http://schemas.openxmlformats.org/officeDocument/2006/relationships/hyperlink" Target="https://docs.google.com/open?id=0B5-iztf28QNJeVh1NjBVSXRIMkU" TargetMode="External"/><Relationship Id="rId852" Type="http://schemas.openxmlformats.org/officeDocument/2006/relationships/hyperlink" Target="https://docs.google.com/open?id=0B5-iztf28QNJeVh1NjBVSXRIMkU" TargetMode="External"/><Relationship Id="rId452" Type="http://schemas.openxmlformats.org/officeDocument/2006/relationships/hyperlink" Target="https://docs.google.com/open?id=0B5-iztf28QNJczZ3V09zRjZWMzA" TargetMode="External"/><Relationship Id="rId453" Type="http://schemas.openxmlformats.org/officeDocument/2006/relationships/hyperlink" Target="https://docs.google.com/open?id=0B5-iztf28QNJczZ3V09zRjZWMzA" TargetMode="External"/><Relationship Id="rId454" Type="http://schemas.openxmlformats.org/officeDocument/2006/relationships/hyperlink" Target="https://docs.google.com/open?id=0B5-iztf28QNJM0hLaGFVMUg5NTA" TargetMode="External"/><Relationship Id="rId455" Type="http://schemas.openxmlformats.org/officeDocument/2006/relationships/hyperlink" Target="https://docs.google.com/open?id=0B5-iztf28QNJM0hLaGFVMUg5NTA" TargetMode="External"/><Relationship Id="rId450" Type="http://schemas.openxmlformats.org/officeDocument/2006/relationships/hyperlink" Target="https://docs.google.com/open?id=0B5-iztf28QNJRjU5NVp6dm1BbkU" TargetMode="External"/><Relationship Id="rId451" Type="http://schemas.openxmlformats.org/officeDocument/2006/relationships/hyperlink" Target="https://docs.google.com/open?id=0B5-iztf28QNJRjU5NVp6dm1BbkU" TargetMode="External"/><Relationship Id="rId456" Type="http://schemas.openxmlformats.org/officeDocument/2006/relationships/hyperlink" Target="https://docs.google.com/open?id=0B5-iztf28QNJTGxLcEZWcHV0SDg" TargetMode="External"/><Relationship Id="rId457" Type="http://schemas.openxmlformats.org/officeDocument/2006/relationships/hyperlink" Target="https://docs.google.com/open?id=0B5-iztf28QNJTGxLcEZWcHV0SDg" TargetMode="External"/><Relationship Id="rId458" Type="http://schemas.openxmlformats.org/officeDocument/2006/relationships/hyperlink" Target="https://docs.google.com/open?id=0B5-iztf28QNJLWdOVkxqMDVlWmM" TargetMode="External"/><Relationship Id="rId459" Type="http://schemas.openxmlformats.org/officeDocument/2006/relationships/hyperlink" Target="https://docs.google.com/open?id=0B5-iztf28QNJLWdOVkxqMDVlWmM" TargetMode="External"/><Relationship Id="rId860" Type="http://schemas.openxmlformats.org/officeDocument/2006/relationships/hyperlink" Target="https://docs.google.com/open?id=0B5-iztf28QNJb0ZPYi1pT001Rlk" TargetMode="External"/><Relationship Id="rId862" Type="http://schemas.openxmlformats.org/officeDocument/2006/relationships/hyperlink" Target="https://docs.google.com/open?id=0B5-iztf28QNJam9lSWZCMlBnaGc" TargetMode="External"/><Relationship Id="rId861" Type="http://schemas.openxmlformats.org/officeDocument/2006/relationships/hyperlink" Target="https://docs.google.com/open?id=0B5-iztf28QNJb0ZPYi1pT001Rlk" TargetMode="External"/><Relationship Id="rId868" Type="http://schemas.openxmlformats.org/officeDocument/2006/relationships/hyperlink" Target="https://docs.google.com/open?id=0B5-iztf28QNJNExBUkJjb3hZaVE" TargetMode="External"/><Relationship Id="rId867" Type="http://schemas.openxmlformats.org/officeDocument/2006/relationships/hyperlink" Target="https://docs.google.com/open?id=0B5-iztf28QNJNW1KNjRiak0tV0E" TargetMode="External"/><Relationship Id="rId869" Type="http://schemas.openxmlformats.org/officeDocument/2006/relationships/hyperlink" Target="https://docs.google.com/open?id=0B5-iztf28QNJNExBUkJjb3hZaVE" TargetMode="External"/><Relationship Id="rId864" Type="http://schemas.openxmlformats.org/officeDocument/2006/relationships/hyperlink" Target="https://docs.google.com/open?id=0B5-iztf28QNJRFhYbTlWUDVSQU0" TargetMode="External"/><Relationship Id="rId863" Type="http://schemas.openxmlformats.org/officeDocument/2006/relationships/hyperlink" Target="https://docs.google.com/open?id=0B5-iztf28QNJam9lSWZCMlBnaGc" TargetMode="External"/><Relationship Id="rId866" Type="http://schemas.openxmlformats.org/officeDocument/2006/relationships/hyperlink" Target="https://docs.google.com/open?id=0B5-iztf28QNJNW1KNjRiak0tV0E" TargetMode="External"/><Relationship Id="rId865" Type="http://schemas.openxmlformats.org/officeDocument/2006/relationships/hyperlink" Target="https://docs.google.com/open?id=0B5-iztf28QNJRFhYbTlWUDVSQU0" TargetMode="External"/><Relationship Id="rId483" Type="http://schemas.openxmlformats.org/officeDocument/2006/relationships/hyperlink" Target="https://docs.google.com/open?id=0B5-iztf28QNJLXRaSmk5NE8wSzg" TargetMode="External"/><Relationship Id="rId484" Type="http://schemas.openxmlformats.org/officeDocument/2006/relationships/hyperlink" Target="https://docs.google.com/open?id=0B5-iztf28QNJSWY1OEkxTTd4X2c" TargetMode="External"/><Relationship Id="rId481" Type="http://schemas.openxmlformats.org/officeDocument/2006/relationships/hyperlink" Target="https://docs.google.com/open?id=0B5-iztf28QNJUFJETGozYk5GWjg" TargetMode="External"/><Relationship Id="rId482" Type="http://schemas.openxmlformats.org/officeDocument/2006/relationships/hyperlink" Target="https://docs.google.com/open?id=0B5-iztf28QNJLXRaSmk5NE8wSzg" TargetMode="External"/><Relationship Id="rId487" Type="http://schemas.openxmlformats.org/officeDocument/2006/relationships/hyperlink" Target="https://docs.google.com/open?id=0B5-iztf28QNJTjJ6VzVtcld1VVE" TargetMode="External"/><Relationship Id="rId488" Type="http://schemas.openxmlformats.org/officeDocument/2006/relationships/hyperlink" Target="https://docs.google.com/open?id=0B5-iztf28QNJdzJwRjhORkdpMm8" TargetMode="External"/><Relationship Id="rId485" Type="http://schemas.openxmlformats.org/officeDocument/2006/relationships/hyperlink" Target="https://docs.google.com/open?id=0B5-iztf28QNJSWY1OEkxTTd4X2c" TargetMode="External"/><Relationship Id="rId486" Type="http://schemas.openxmlformats.org/officeDocument/2006/relationships/hyperlink" Target="https://docs.google.com/open?id=0B5-iztf28QNJTjJ6VzVtcld1VVE" TargetMode="External"/><Relationship Id="rId489" Type="http://schemas.openxmlformats.org/officeDocument/2006/relationships/hyperlink" Target="https://docs.google.com/open?id=0B5-iztf28QNJdzJwRjhORkdpMm8" TargetMode="External"/><Relationship Id="rId206" Type="http://schemas.openxmlformats.org/officeDocument/2006/relationships/hyperlink" Target="https://docs.google.com/open?id=0B5-iztf28QNJSEY0VENzbllMdDA" TargetMode="External"/><Relationship Id="rId205" Type="http://schemas.openxmlformats.org/officeDocument/2006/relationships/hyperlink" Target="https://docs.google.com/open?id=0B5-iztf28QNJNjlEX1JPODV5blk" TargetMode="External"/><Relationship Id="rId204" Type="http://schemas.openxmlformats.org/officeDocument/2006/relationships/hyperlink" Target="https://docs.google.com/open?id=0B5-iztf28QNJNjlEX1JPODV5blk" TargetMode="External"/><Relationship Id="rId203" Type="http://schemas.openxmlformats.org/officeDocument/2006/relationships/hyperlink" Target="https://docs.google.com/open?id=0B5-iztf28QNJSWE5eDA3dnhxTzA" TargetMode="External"/><Relationship Id="rId873" Type="http://schemas.openxmlformats.org/officeDocument/2006/relationships/hyperlink" Target="https://docs.google.com/open?id=0B5-iztf28QNJUjVoT0pGQnd0Y2M" TargetMode="External"/><Relationship Id="rId872" Type="http://schemas.openxmlformats.org/officeDocument/2006/relationships/hyperlink" Target="https://docs.google.com/open?id=0B5-iztf28QNJUjVoT0pGQnd0Y2M" TargetMode="External"/><Relationship Id="rId209" Type="http://schemas.openxmlformats.org/officeDocument/2006/relationships/hyperlink" Target="https://docs.google.com/open?id=0B5-iztf28QNJUDRpN2k4LTllSVk" TargetMode="External"/><Relationship Id="rId871" Type="http://schemas.openxmlformats.org/officeDocument/2006/relationships/hyperlink" Target="https://docs.google.com/open?id=0B5-iztf28QNJQk1RUXRZYzk2MGM" TargetMode="External"/><Relationship Id="rId208" Type="http://schemas.openxmlformats.org/officeDocument/2006/relationships/hyperlink" Target="https://docs.google.com/open?id=0B5-iztf28QNJUDRpN2k4LTllSVk" TargetMode="External"/><Relationship Id="rId870" Type="http://schemas.openxmlformats.org/officeDocument/2006/relationships/hyperlink" Target="https://docs.google.com/open?id=0B5-iztf28QNJQk1RUXRZYzk2MGM" TargetMode="External"/><Relationship Id="rId207" Type="http://schemas.openxmlformats.org/officeDocument/2006/relationships/hyperlink" Target="https://docs.google.com/open?id=0B5-iztf28QNJSEY0VENzbllMdDA" TargetMode="External"/><Relationship Id="rId877" Type="http://schemas.openxmlformats.org/officeDocument/2006/relationships/hyperlink" Target="https://docs.google.com/open?id=0B5-iztf28QNJVklvRnoxRmVaTk0" TargetMode="External"/><Relationship Id="rId876" Type="http://schemas.openxmlformats.org/officeDocument/2006/relationships/hyperlink" Target="https://docs.google.com/open?id=0B5-iztf28QNJVklvRnoxRmVaTk0" TargetMode="External"/><Relationship Id="rId875" Type="http://schemas.openxmlformats.org/officeDocument/2006/relationships/hyperlink" Target="https://docs.google.com/open?id=0B5-iztf28QNJQUZHVEpraVJxVDA" TargetMode="External"/><Relationship Id="rId874" Type="http://schemas.openxmlformats.org/officeDocument/2006/relationships/hyperlink" Target="https://docs.google.com/open?id=0B5-iztf28QNJQUZHVEpraVJxVDA" TargetMode="External"/><Relationship Id="rId202" Type="http://schemas.openxmlformats.org/officeDocument/2006/relationships/hyperlink" Target="https://docs.google.com/open?id=0B5-iztf28QNJSWE5eDA3dnhxTzA" TargetMode="External"/><Relationship Id="rId491" Type="http://schemas.openxmlformats.org/officeDocument/2006/relationships/hyperlink" Target="https://docs.google.com/open?id=0B5-iztf28QNJdW1OS0J3NzdrdFE" TargetMode="External"/><Relationship Id="rId201" Type="http://schemas.openxmlformats.org/officeDocument/2006/relationships/hyperlink" Target="https://docs.google.com/open?id=0B5-iztf28QNJUHhSRXUyeXNCRGc" TargetMode="External"/><Relationship Id="rId490" Type="http://schemas.openxmlformats.org/officeDocument/2006/relationships/hyperlink" Target="https://docs.google.com/open?id=0B5-iztf28QNJdW1OS0J3NzdrdFE" TargetMode="External"/><Relationship Id="rId879" Type="http://schemas.openxmlformats.org/officeDocument/2006/relationships/hyperlink" Target="https://docs.google.com/open?id=0B5-iztf28QNJRzZTaV91SjRkWnM" TargetMode="External"/><Relationship Id="rId200" Type="http://schemas.openxmlformats.org/officeDocument/2006/relationships/hyperlink" Target="https://docs.google.com/open?id=0B5-iztf28QNJUHhSRXUyeXNCRGc" TargetMode="External"/><Relationship Id="rId878" Type="http://schemas.openxmlformats.org/officeDocument/2006/relationships/hyperlink" Target="https://docs.google.com/open?id=0B5-iztf28QNJRzZTaV91SjRkWnM" TargetMode="External"/><Relationship Id="rId470" Type="http://schemas.openxmlformats.org/officeDocument/2006/relationships/hyperlink" Target="https://docs.google.com/open?id=0B5-iztf28QNJcWs3MUpaY1hoNEk" TargetMode="External"/><Relationship Id="rId471" Type="http://schemas.openxmlformats.org/officeDocument/2006/relationships/hyperlink" Target="https://docs.google.com/open?id=0B5-iztf28QNJcWs3MUpaY1hoNEk" TargetMode="External"/><Relationship Id="rId600" Type="http://schemas.openxmlformats.org/officeDocument/2006/relationships/hyperlink" Target="https://docs.google.com/open?id=0B5-iztf28QNJWmtGRmRONnR0cms" TargetMode="External"/><Relationship Id="rId472" Type="http://schemas.openxmlformats.org/officeDocument/2006/relationships/hyperlink" Target="https://docs.google.com/open?id=0B5-iztf28QNJWmZGNUtpTnBTd2c" TargetMode="External"/><Relationship Id="rId601" Type="http://schemas.openxmlformats.org/officeDocument/2006/relationships/hyperlink" Target="https://docs.google.com/open?id=0B5-iztf28QNJWmtGRmRONnR0cms" TargetMode="External"/><Relationship Id="rId473" Type="http://schemas.openxmlformats.org/officeDocument/2006/relationships/hyperlink" Target="https://docs.google.com/open?id=0B5-iztf28QNJWmZGNUtpTnBTd2c" TargetMode="External"/><Relationship Id="rId602" Type="http://schemas.openxmlformats.org/officeDocument/2006/relationships/hyperlink" Target="https://docs.google.com/open?id=0B5-iztf28QNJYUQzMTB4c2xMdmM" TargetMode="External"/><Relationship Id="rId474" Type="http://schemas.openxmlformats.org/officeDocument/2006/relationships/hyperlink" Target="https://docs.google.com/open?id=0B5-iztf28QNJZ3Y3U0lQZ21tOUk" TargetMode="External"/><Relationship Id="rId603" Type="http://schemas.openxmlformats.org/officeDocument/2006/relationships/hyperlink" Target="https://docs.google.com/open?id=0B5-iztf28QNJYUQzMTB4c2xMdmM" TargetMode="External"/><Relationship Id="rId475" Type="http://schemas.openxmlformats.org/officeDocument/2006/relationships/hyperlink" Target="https://docs.google.com/open?id=0B5-iztf28QNJZ3Y3U0lQZ21tOUk" TargetMode="External"/><Relationship Id="rId604" Type="http://schemas.openxmlformats.org/officeDocument/2006/relationships/hyperlink" Target="https://docs.google.com/open?id=0B5-iztf28QNJWnR3MExDcXhaXzQ" TargetMode="External"/><Relationship Id="rId476" Type="http://schemas.openxmlformats.org/officeDocument/2006/relationships/hyperlink" Target="https://docs.google.com/open?id=0B5-iztf28QNJRVJ0MXZCeW5OVGs" TargetMode="External"/><Relationship Id="rId605" Type="http://schemas.openxmlformats.org/officeDocument/2006/relationships/hyperlink" Target="https://docs.google.com/open?id=0B5-iztf28QNJWnR3MExDcXhaXzQ" TargetMode="External"/><Relationship Id="rId477" Type="http://schemas.openxmlformats.org/officeDocument/2006/relationships/hyperlink" Target="https://docs.google.com/open?id=0B5-iztf28QNJRVJ0MXZCeW5OVGs" TargetMode="External"/><Relationship Id="rId606" Type="http://schemas.openxmlformats.org/officeDocument/2006/relationships/hyperlink" Target="https://docs.google.com/open?id=0B5-iztf28QNJemFuUFFqNGo4NGM" TargetMode="External"/><Relationship Id="rId478" Type="http://schemas.openxmlformats.org/officeDocument/2006/relationships/hyperlink" Target="https://docs.google.com/open?id=0B5-iztf28QNJRjBXVFdsajVKQUU" TargetMode="External"/><Relationship Id="rId479" Type="http://schemas.openxmlformats.org/officeDocument/2006/relationships/hyperlink" Target="https://docs.google.com/open?id=0B5-iztf28QNJRjBXVFdsajVKQUU" TargetMode="External"/><Relationship Id="rId880" Type="http://schemas.openxmlformats.org/officeDocument/2006/relationships/hyperlink" Target="https://docs.google.com/open?id=0B5-iztf28QNJd29kbHplZF9DS1E" TargetMode="External"/><Relationship Id="rId882" Type="http://schemas.openxmlformats.org/officeDocument/2006/relationships/hyperlink" Target="https://docs.google.com/open?id=0B5-iztf28QNJVkVLaG9nUkdTS0U" TargetMode="External"/><Relationship Id="rId881" Type="http://schemas.openxmlformats.org/officeDocument/2006/relationships/hyperlink" Target="https://docs.google.com/open?id=0B5-iztf28QNJd29kbHplZF9DS1E" TargetMode="External"/><Relationship Id="rId884" Type="http://schemas.openxmlformats.org/officeDocument/2006/relationships/hyperlink" Target="https://docs.google.com/open?id=0B5-iztf28QNJRU1NZ0pIWnp1UlU" TargetMode="External"/><Relationship Id="rId883" Type="http://schemas.openxmlformats.org/officeDocument/2006/relationships/hyperlink" Target="https://docs.google.com/open?id=0B5-iztf28QNJVkVLaG9nUkdTS0U" TargetMode="External"/><Relationship Id="rId886" Type="http://schemas.openxmlformats.org/officeDocument/2006/relationships/hyperlink" Target="https://docs.google.com/open?id=0B5-iztf28QNJWFdwWnA0NG9iVkk" TargetMode="External"/><Relationship Id="rId608" Type="http://schemas.openxmlformats.org/officeDocument/2006/relationships/hyperlink" Target="https://docs.google.com/open?id=0B5-iztf28QNJa25BSWo0QTdTejA" TargetMode="External"/><Relationship Id="rId885" Type="http://schemas.openxmlformats.org/officeDocument/2006/relationships/hyperlink" Target="https://docs.google.com/open?id=0B5-iztf28QNJRU1NZ0pIWnp1UlU" TargetMode="External"/><Relationship Id="rId607" Type="http://schemas.openxmlformats.org/officeDocument/2006/relationships/hyperlink" Target="https://docs.google.com/open?id=0B5-iztf28QNJemFuUFFqNGo4NGM" TargetMode="External"/><Relationship Id="rId888" Type="http://schemas.openxmlformats.org/officeDocument/2006/relationships/hyperlink" Target="https://docs.google.com/open?id=0B5-iztf28QNJZ1IwbmdPQl9FZmM" TargetMode="External"/><Relationship Id="rId887" Type="http://schemas.openxmlformats.org/officeDocument/2006/relationships/hyperlink" Target="https://docs.google.com/open?id=0B5-iztf28QNJWFdwWnA0NG9iVkk" TargetMode="External"/><Relationship Id="rId609" Type="http://schemas.openxmlformats.org/officeDocument/2006/relationships/hyperlink" Target="https://docs.google.com/open?id=0B5-iztf28QNJa25BSWo0QTdTejA" TargetMode="External"/><Relationship Id="rId889" Type="http://schemas.openxmlformats.org/officeDocument/2006/relationships/hyperlink" Target="https://docs.google.com/open?id=0B5-iztf28QNJZ1IwbmdPQl9FZmM" TargetMode="External"/><Relationship Id="rId480" Type="http://schemas.openxmlformats.org/officeDocument/2006/relationships/hyperlink" Target="https://docs.google.com/open?id=0B5-iztf28QNJUFJETGozYk5GWjg" TargetMode="External"/><Relationship Id="rId896" Type="http://schemas.openxmlformats.org/officeDocument/2006/relationships/hyperlink" Target="https://docs.google.com/open?id=0B5-iztf28QNJM3JlRzBUMnBRMTg" TargetMode="External"/><Relationship Id="rId897" Type="http://schemas.openxmlformats.org/officeDocument/2006/relationships/hyperlink" Target="https://docs.google.com/open?id=0B5-iztf28QNJM3JlRzBUMnBRMTg" TargetMode="External"/><Relationship Id="rId898" Type="http://schemas.openxmlformats.org/officeDocument/2006/relationships/hyperlink" Target="https://docs.google.com/open?id=0B5-iztf28QNJVkZtLWtpQnFVSXc" TargetMode="External"/><Relationship Id="rId899" Type="http://schemas.openxmlformats.org/officeDocument/2006/relationships/hyperlink" Target="https://docs.google.com/open?id=0B5-iztf28QNJVkZtLWtpQnFVSXc" TargetMode="External"/><Relationship Id="rId892" Type="http://schemas.openxmlformats.org/officeDocument/2006/relationships/hyperlink" Target="https://docs.google.com/open?id=0B5-iztf28QNJdHRxSHZldWRBS2s" TargetMode="External"/><Relationship Id="rId893" Type="http://schemas.openxmlformats.org/officeDocument/2006/relationships/hyperlink" Target="https://docs.google.com/open?id=0B5-iztf28QNJdHRxSHZldWRBS2s" TargetMode="External"/><Relationship Id="rId894" Type="http://schemas.openxmlformats.org/officeDocument/2006/relationships/hyperlink" Target="https://docs.google.com/open?id=0B5-iztf28QNJZnF5ZFZCbzlobXM" TargetMode="External"/><Relationship Id="rId895" Type="http://schemas.openxmlformats.org/officeDocument/2006/relationships/hyperlink" Target="https://docs.google.com/open?id=0B5-iztf28QNJZnF5ZFZCbzlobXM" TargetMode="External"/><Relationship Id="rId890" Type="http://schemas.openxmlformats.org/officeDocument/2006/relationships/hyperlink" Target="https://docs.google.com/open?id=0B5-iztf28QNJVFk4TFhDYlhDeTA" TargetMode="External"/><Relationship Id="rId891" Type="http://schemas.openxmlformats.org/officeDocument/2006/relationships/hyperlink" Target="https://docs.google.com/open?id=0B5-iztf28QNJVFk4TFhDYlhDeTA" TargetMode="External"/><Relationship Id="rId695" Type="http://schemas.openxmlformats.org/officeDocument/2006/relationships/hyperlink" Target="https://docs.google.com/open?id=0B5-iztf28QNJNEJmQ1c1TVp6SDA" TargetMode="External"/><Relationship Id="rId694" Type="http://schemas.openxmlformats.org/officeDocument/2006/relationships/hyperlink" Target="https://docs.google.com/open?id=0B5-iztf28QNJNEJmQ1c1TVp6SDA" TargetMode="External"/><Relationship Id="rId697" Type="http://schemas.openxmlformats.org/officeDocument/2006/relationships/hyperlink" Target="https://docs.google.com/open?id=0B5-iztf28QNJZG1SWXFyMTlpWm8" TargetMode="External"/><Relationship Id="rId696" Type="http://schemas.openxmlformats.org/officeDocument/2006/relationships/hyperlink" Target="https://docs.google.com/open?id=0B5-iztf28QNJZG1SWXFyMTlpWm8" TargetMode="External"/><Relationship Id="rId691" Type="http://schemas.openxmlformats.org/officeDocument/2006/relationships/hyperlink" Target="https://docs.google.com/open?id=0B5-iztf28QNJWERwblpOVTdIR0k" TargetMode="External"/><Relationship Id="rId690" Type="http://schemas.openxmlformats.org/officeDocument/2006/relationships/hyperlink" Target="https://docs.google.com/open?id=0B5-iztf28QNJWERwblpOVTdIR0k" TargetMode="External"/><Relationship Id="rId693" Type="http://schemas.openxmlformats.org/officeDocument/2006/relationships/hyperlink" Target="https://docs.google.com/open?id=0B5-iztf28QNJR01LcXBUVFRmdXM" TargetMode="External"/><Relationship Id="rId692" Type="http://schemas.openxmlformats.org/officeDocument/2006/relationships/hyperlink" Target="https://docs.google.com/open?id=0B5-iztf28QNJR01LcXBUVFRmdXM" TargetMode="External"/><Relationship Id="rId699" Type="http://schemas.openxmlformats.org/officeDocument/2006/relationships/hyperlink" Target="https://docs.google.com/open?id=0B5-iztf28QNJMExwQUpVR1pjajg" TargetMode="External"/><Relationship Id="rId698" Type="http://schemas.openxmlformats.org/officeDocument/2006/relationships/hyperlink" Target="https://docs.google.com/open?id=0B5-iztf28QNJMExwQUpVR1pjajg" TargetMode="External"/><Relationship Id="rId658" Type="http://schemas.openxmlformats.org/officeDocument/2006/relationships/hyperlink" Target="https://docs.google.com/open?id=0B5-iztf28QNJRU9DZEsxOWJqc0E" TargetMode="External"/><Relationship Id="rId659" Type="http://schemas.openxmlformats.org/officeDocument/2006/relationships/hyperlink" Target="https://docs.google.com/open?id=0B5-iztf28QNJRU9DZEsxOWJqc0E" TargetMode="External"/><Relationship Id="rId654" Type="http://schemas.openxmlformats.org/officeDocument/2006/relationships/hyperlink" Target="https://docs.google.com/open?id=0B5-iztf28QNJN0pJR05BNGxITmM" TargetMode="External"/><Relationship Id="rId655" Type="http://schemas.openxmlformats.org/officeDocument/2006/relationships/hyperlink" Target="https://docs.google.com/open?id=0B5-iztf28QNJN0pJR05BNGxITmM" TargetMode="External"/><Relationship Id="rId656" Type="http://schemas.openxmlformats.org/officeDocument/2006/relationships/hyperlink" Target="https://docs.google.com/open?id=0B5-iztf28QNJaTZSN21UcWRmV00" TargetMode="External"/><Relationship Id="rId657" Type="http://schemas.openxmlformats.org/officeDocument/2006/relationships/hyperlink" Target="https://docs.google.com/open?id=0B5-iztf28QNJaTZSN21UcWRmV00" TargetMode="External"/><Relationship Id="rId650" Type="http://schemas.openxmlformats.org/officeDocument/2006/relationships/hyperlink" Target="https://docs.google.com/open?id=0B5-iztf28QNJSmhMUDNuNTk5eUE" TargetMode="External"/><Relationship Id="rId651" Type="http://schemas.openxmlformats.org/officeDocument/2006/relationships/hyperlink" Target="https://docs.google.com/open?id=0B5-iztf28QNJSmhMUDNuNTk5eUE" TargetMode="External"/><Relationship Id="rId652" Type="http://schemas.openxmlformats.org/officeDocument/2006/relationships/hyperlink" Target="https://docs.google.com/open?id=0B5-iztf28QNJdW0zZUVlSFJsT28" TargetMode="External"/><Relationship Id="rId653" Type="http://schemas.openxmlformats.org/officeDocument/2006/relationships/hyperlink" Target="https://docs.google.com/open?id=0B5-iztf28QNJdW0zZUVlSFJsT28" TargetMode="External"/><Relationship Id="rId669" Type="http://schemas.openxmlformats.org/officeDocument/2006/relationships/hyperlink" Target="https://docs.google.com/open?id=0B5-iztf28QNJWktQMzVZS0x2RDg" TargetMode="External"/><Relationship Id="rId667" Type="http://schemas.openxmlformats.org/officeDocument/2006/relationships/hyperlink" Target="https://docs.google.com/open?id=0B5-iztf28QNJcVE5OXJEaEQ5Mk0" TargetMode="External"/><Relationship Id="rId668" Type="http://schemas.openxmlformats.org/officeDocument/2006/relationships/hyperlink" Target="https://docs.google.com/open?id=0B5-iztf28QNJWktQMzVZS0x2RDg" TargetMode="External"/><Relationship Id="rId665" Type="http://schemas.openxmlformats.org/officeDocument/2006/relationships/hyperlink" Target="https://docs.google.com/open?id=0B5-iztf28QNJMUNRZDFQWU1Fc2M" TargetMode="External"/><Relationship Id="rId666" Type="http://schemas.openxmlformats.org/officeDocument/2006/relationships/hyperlink" Target="https://docs.google.com/open?id=0B5-iztf28QNJcVE5OXJEaEQ5Mk0" TargetMode="External"/><Relationship Id="rId663" Type="http://schemas.openxmlformats.org/officeDocument/2006/relationships/hyperlink" Target="https://docs.google.com/open?id=0B5-iztf28QNJVmFhRFlEV3hMdVU" TargetMode="External"/><Relationship Id="rId664" Type="http://schemas.openxmlformats.org/officeDocument/2006/relationships/hyperlink" Target="https://docs.google.com/open?id=0B5-iztf28QNJMUNRZDFQWU1Fc2M" TargetMode="External"/><Relationship Id="rId661" Type="http://schemas.openxmlformats.org/officeDocument/2006/relationships/hyperlink" Target="https://docs.google.com/open?id=0B5-iztf28QNJZFZST2tvSnB3ckE" TargetMode="External"/><Relationship Id="rId662" Type="http://schemas.openxmlformats.org/officeDocument/2006/relationships/hyperlink" Target="https://docs.google.com/open?id=0B5-iztf28QNJVmFhRFlEV3hMdVU" TargetMode="External"/><Relationship Id="rId660" Type="http://schemas.openxmlformats.org/officeDocument/2006/relationships/hyperlink" Target="https://docs.google.com/open?id=0B5-iztf28QNJZFZST2tvSnB3ckE" TargetMode="External"/><Relationship Id="rId409" Type="http://schemas.openxmlformats.org/officeDocument/2006/relationships/hyperlink" Target="https://docs.google.com/open?id=0B5-iztf28QNJV1VfVnFpRzhkUzg" TargetMode="External"/><Relationship Id="rId676" Type="http://schemas.openxmlformats.org/officeDocument/2006/relationships/hyperlink" Target="https://docs.google.com/open?id=0B5-iztf28QNJczdqQklKN0Q1UGs" TargetMode="External"/><Relationship Id="rId677" Type="http://schemas.openxmlformats.org/officeDocument/2006/relationships/hyperlink" Target="https://docs.google.com/open?id=0B5-iztf28QNJczdqQklKN0Q1UGs" TargetMode="External"/><Relationship Id="rId678" Type="http://schemas.openxmlformats.org/officeDocument/2006/relationships/hyperlink" Target="https://docs.google.com/open?id=0B5-iztf28QNJVDhRN1VVME93cTQ" TargetMode="External"/><Relationship Id="rId679" Type="http://schemas.openxmlformats.org/officeDocument/2006/relationships/hyperlink" Target="https://docs.google.com/open?id=0B5-iztf28QNJVDhRN1VVME93cTQ" TargetMode="External"/><Relationship Id="rId400" Type="http://schemas.openxmlformats.org/officeDocument/2006/relationships/hyperlink" Target="https://docs.google.com/open?id=0B5-iztf28QNJeW5QSTRlVnJZa1k" TargetMode="External"/><Relationship Id="rId401" Type="http://schemas.openxmlformats.org/officeDocument/2006/relationships/hyperlink" Target="https://docs.google.com/open?id=0B5-iztf28QNJeW5QSTRlVnJZa1k" TargetMode="External"/><Relationship Id="rId402" Type="http://schemas.openxmlformats.org/officeDocument/2006/relationships/hyperlink" Target="https://docs.google.com/open?id=0B5-iztf28QNJVXBUVmdOc2pobjQ" TargetMode="External"/><Relationship Id="rId403" Type="http://schemas.openxmlformats.org/officeDocument/2006/relationships/hyperlink" Target="https://docs.google.com/open?id=0B5-iztf28QNJVXBUVmdOc2pobjQ" TargetMode="External"/><Relationship Id="rId670" Type="http://schemas.openxmlformats.org/officeDocument/2006/relationships/hyperlink" Target="https://docs.google.com/open?id=0B5-iztf28QNJTnVTVVVMVjFyb28" TargetMode="External"/><Relationship Id="rId404" Type="http://schemas.openxmlformats.org/officeDocument/2006/relationships/hyperlink" Target="https://docs.google.com/open?id=0B5-iztf28QNJQ2VSaFZoOG9wems" TargetMode="External"/><Relationship Id="rId671" Type="http://schemas.openxmlformats.org/officeDocument/2006/relationships/hyperlink" Target="https://docs.google.com/open?id=0B5-iztf28QNJTnVTVVVMVjFyb28" TargetMode="External"/><Relationship Id="rId405" Type="http://schemas.openxmlformats.org/officeDocument/2006/relationships/hyperlink" Target="https://docs.google.com/open?id=0B5-iztf28QNJQ2VSaFZoOG9wems" TargetMode="External"/><Relationship Id="rId672" Type="http://schemas.openxmlformats.org/officeDocument/2006/relationships/hyperlink" Target="https://docs.google.com/open?id=0B5-iztf28QNJNnctWGRzeVpXYlE" TargetMode="External"/><Relationship Id="rId406" Type="http://schemas.openxmlformats.org/officeDocument/2006/relationships/hyperlink" Target="https://docs.google.com/open?id=0B5-iztf28QNJMzNnWDlUUC11NHc" TargetMode="External"/><Relationship Id="rId673" Type="http://schemas.openxmlformats.org/officeDocument/2006/relationships/hyperlink" Target="https://docs.google.com/open?id=0B5-iztf28QNJNnctWGRzeVpXYlE" TargetMode="External"/><Relationship Id="rId407" Type="http://schemas.openxmlformats.org/officeDocument/2006/relationships/hyperlink" Target="https://docs.google.com/open?id=0B5-iztf28QNJMzNnWDlUUC11NHc" TargetMode="External"/><Relationship Id="rId674" Type="http://schemas.openxmlformats.org/officeDocument/2006/relationships/hyperlink" Target="https://docs.google.com/open?id=0B5-iztf28QNJaTVGWkx2enhPRFk" TargetMode="External"/><Relationship Id="rId408" Type="http://schemas.openxmlformats.org/officeDocument/2006/relationships/hyperlink" Target="https://docs.google.com/open?id=0B5-iztf28QNJV1VfVnFpRzhkUzg" TargetMode="External"/><Relationship Id="rId675" Type="http://schemas.openxmlformats.org/officeDocument/2006/relationships/hyperlink" Target="https://docs.google.com/open?id=0B5-iztf28QNJaTVGWkx2enhPRFk" TargetMode="External"/><Relationship Id="rId689" Type="http://schemas.openxmlformats.org/officeDocument/2006/relationships/hyperlink" Target="https://docs.google.com/open?id=0B5-iztf28QNJUzRqZUlLXzNRYlU" TargetMode="External"/><Relationship Id="rId687" Type="http://schemas.openxmlformats.org/officeDocument/2006/relationships/hyperlink" Target="https://docs.google.com/open?id=0B5-iztf28QNJMndhMjZXNWxBakU" TargetMode="External"/><Relationship Id="rId688" Type="http://schemas.openxmlformats.org/officeDocument/2006/relationships/hyperlink" Target="https://docs.google.com/open?id=0B5-iztf28QNJUzRqZUlLXzNRYlU" TargetMode="External"/><Relationship Id="rId681" Type="http://schemas.openxmlformats.org/officeDocument/2006/relationships/hyperlink" Target="https://docs.google.com/open?id=0B5-iztf28QNJa3R4aHNVMkVvcEE" TargetMode="External"/><Relationship Id="rId682" Type="http://schemas.openxmlformats.org/officeDocument/2006/relationships/hyperlink" Target="https://docs.google.com/open?id=0B5-iztf28QNJNUVnMG5TYS1jQlk" TargetMode="External"/><Relationship Id="rId680" Type="http://schemas.openxmlformats.org/officeDocument/2006/relationships/hyperlink" Target="https://docs.google.com/open?id=0B5-iztf28QNJa3R4aHNVMkVvcEE" TargetMode="External"/><Relationship Id="rId685" Type="http://schemas.openxmlformats.org/officeDocument/2006/relationships/hyperlink" Target="https://docs.google.com/open?id=0B5-iztf28QNJbmJKZnR0OGw2b0E" TargetMode="External"/><Relationship Id="rId686" Type="http://schemas.openxmlformats.org/officeDocument/2006/relationships/hyperlink" Target="https://docs.google.com/open?id=0B5-iztf28QNJMndhMjZXNWxBakU" TargetMode="External"/><Relationship Id="rId683" Type="http://schemas.openxmlformats.org/officeDocument/2006/relationships/hyperlink" Target="https://docs.google.com/open?id=0B5-iztf28QNJNUVnMG5TYS1jQlk" TargetMode="External"/><Relationship Id="rId684" Type="http://schemas.openxmlformats.org/officeDocument/2006/relationships/hyperlink" Target="https://docs.google.com/open?id=0B5-iztf28QNJbmJKZnR0OGw2b0E" TargetMode="External"/><Relationship Id="rId296" Type="http://schemas.openxmlformats.org/officeDocument/2006/relationships/hyperlink" Target="https://docs.google.com/open?id=0B5-iztf28QNJVTk0bHlCSUd4WHc" TargetMode="External"/><Relationship Id="rId297" Type="http://schemas.openxmlformats.org/officeDocument/2006/relationships/hyperlink" Target="https://docs.google.com/open?id=0B5-iztf28QNJVTk0bHlCSUd4WHc" TargetMode="External"/><Relationship Id="rId294" Type="http://schemas.openxmlformats.org/officeDocument/2006/relationships/hyperlink" Target="https://docs.google.com/open?id=0B5-iztf28QNJZGQ2NXdWTVlpRE0" TargetMode="External"/><Relationship Id="rId295" Type="http://schemas.openxmlformats.org/officeDocument/2006/relationships/hyperlink" Target="https://docs.google.com/open?id=0B5-iztf28QNJZGQ2NXdWTVlpRE0" TargetMode="External"/><Relationship Id="rId298" Type="http://schemas.openxmlformats.org/officeDocument/2006/relationships/hyperlink" Target="https://docs.google.com/open?id=0B5-iztf28QNJY3dlRjhwcmNYVEU" TargetMode="External"/><Relationship Id="rId299" Type="http://schemas.openxmlformats.org/officeDocument/2006/relationships/hyperlink" Target="https://docs.google.com/open?id=0B5-iztf28QNJY3dlRjhwcmNYVEU" TargetMode="External"/><Relationship Id="rId495" Type="http://schemas.openxmlformats.org/officeDocument/2006/relationships/hyperlink" Target="https://docs.google.com/open?id=0B5-iztf28QNJV0swTW50bEkyWmc" TargetMode="External"/><Relationship Id="rId494" Type="http://schemas.openxmlformats.org/officeDocument/2006/relationships/hyperlink" Target="https://docs.google.com/open?id=0B5-iztf28QNJV0swTW50bEkyWmc" TargetMode="External"/><Relationship Id="rId493" Type="http://schemas.openxmlformats.org/officeDocument/2006/relationships/hyperlink" Target="https://docs.google.com/open?id=0B5-iztf28QNJQXNmUE5hRUtqSzg" TargetMode="External"/><Relationship Id="rId492" Type="http://schemas.openxmlformats.org/officeDocument/2006/relationships/hyperlink" Target="https://docs.google.com/open?id=0B5-iztf28QNJQXNmUE5hRUtqSzg" TargetMode="External"/><Relationship Id="rId499" Type="http://schemas.openxmlformats.org/officeDocument/2006/relationships/hyperlink" Target="https://docs.google.com/open?id=0B5-iztf28QNJQmp0bjZZX3JfWjQ" TargetMode="External"/><Relationship Id="rId498" Type="http://schemas.openxmlformats.org/officeDocument/2006/relationships/hyperlink" Target="https://docs.google.com/open?id=0B5-iztf28QNJQmp0bjZZX3JfWjQ" TargetMode="External"/><Relationship Id="rId497" Type="http://schemas.openxmlformats.org/officeDocument/2006/relationships/hyperlink" Target="https://docs.google.com/open?id=0B5-iztf28QNJc1RyRTI4S0dBNTg" TargetMode="External"/><Relationship Id="rId496" Type="http://schemas.openxmlformats.org/officeDocument/2006/relationships/hyperlink" Target="https://docs.google.com/open?id=0B5-iztf28QNJc1RyRTI4S0dBNTg" TargetMode="External"/><Relationship Id="rId259" Type="http://schemas.openxmlformats.org/officeDocument/2006/relationships/hyperlink" Target="https://docs.google.com/open?id=0B5-iztf28QNJYng0djl6V3JOeEU" TargetMode="External"/><Relationship Id="rId258" Type="http://schemas.openxmlformats.org/officeDocument/2006/relationships/hyperlink" Target="https://docs.google.com/open?id=0B5-iztf28QNJYng0djl6V3JOeEU" TargetMode="External"/><Relationship Id="rId253" Type="http://schemas.openxmlformats.org/officeDocument/2006/relationships/hyperlink" Target="https://docs.google.com/open?id=0B5-iztf28QNJYmotenhYSXhnbmM" TargetMode="External"/><Relationship Id="rId252" Type="http://schemas.openxmlformats.org/officeDocument/2006/relationships/hyperlink" Target="https://docs.google.com/open?id=0B5-iztf28QNJYmotenhYSXhnbmM" TargetMode="External"/><Relationship Id="rId251" Type="http://schemas.openxmlformats.org/officeDocument/2006/relationships/hyperlink" Target="https://docs.google.com/open?id=0B5-iztf28QNJRlpxbndVUUtweTQ" TargetMode="External"/><Relationship Id="rId250" Type="http://schemas.openxmlformats.org/officeDocument/2006/relationships/hyperlink" Target="https://docs.google.com/open?id=0B5-iztf28QNJRlpxbndVUUtweTQ" TargetMode="External"/><Relationship Id="rId903" Type="http://schemas.openxmlformats.org/officeDocument/2006/relationships/hyperlink" Target="https://docs.google.com/open?id=0B5-iztf28QNJd1J2bVNONzNiMnc" TargetMode="External"/><Relationship Id="rId257" Type="http://schemas.openxmlformats.org/officeDocument/2006/relationships/hyperlink" Target="https://docs.google.com/open?id=0B5-iztf28QNJbHAtRzZBbVU5X1E" TargetMode="External"/><Relationship Id="rId902" Type="http://schemas.openxmlformats.org/officeDocument/2006/relationships/hyperlink" Target="https://docs.google.com/open?id=0B5-iztf28QNJd1J2bVNONzNiMnc" TargetMode="External"/><Relationship Id="rId256" Type="http://schemas.openxmlformats.org/officeDocument/2006/relationships/hyperlink" Target="https://docs.google.com/open?id=0B5-iztf28QNJbHAtRzZBbVU5X1E" TargetMode="External"/><Relationship Id="rId901" Type="http://schemas.openxmlformats.org/officeDocument/2006/relationships/hyperlink" Target="https://docs.google.com/open?id=0B5-iztf28QNJa3ktSGxud1N4N0E" TargetMode="External"/><Relationship Id="rId255" Type="http://schemas.openxmlformats.org/officeDocument/2006/relationships/hyperlink" Target="https://docs.google.com/open?id=0B5-iztf28QNJd3NicFJBNE5faDg" TargetMode="External"/><Relationship Id="rId900" Type="http://schemas.openxmlformats.org/officeDocument/2006/relationships/hyperlink" Target="https://docs.google.com/open?id=0B5-iztf28QNJa3ktSGxud1N4N0E" TargetMode="External"/><Relationship Id="rId254" Type="http://schemas.openxmlformats.org/officeDocument/2006/relationships/hyperlink" Target="https://docs.google.com/open?id=0B5-iztf28QNJd3NicFJBNE5faDg" TargetMode="External"/><Relationship Id="rId906" Type="http://schemas.openxmlformats.org/officeDocument/2006/relationships/hyperlink" Target="https://docs.google.com/open?id=0B5-iztf28QNJbThkMml0eXpYb3M" TargetMode="External"/><Relationship Id="rId907" Type="http://schemas.openxmlformats.org/officeDocument/2006/relationships/hyperlink" Target="https://docs.google.com/open?id=0B5-iztf28QNJbThkMml0eXpYb3M" TargetMode="External"/><Relationship Id="rId904" Type="http://schemas.openxmlformats.org/officeDocument/2006/relationships/hyperlink" Target="https://docs.google.com/open?id=0B5-iztf28QNJajRJRXpnNE0yWDA" TargetMode="External"/><Relationship Id="rId905" Type="http://schemas.openxmlformats.org/officeDocument/2006/relationships/hyperlink" Target="https://docs.google.com/open?id=0B5-iztf28QNJajRJRXpnNE0yWDA" TargetMode="External"/><Relationship Id="rId260" Type="http://schemas.openxmlformats.org/officeDocument/2006/relationships/hyperlink" Target="https://docs.google.com/open?id=0B5-iztf28QNJRzZRTTg2UnBZN2s" TargetMode="External"/><Relationship Id="rId908" Type="http://schemas.openxmlformats.org/officeDocument/2006/relationships/hyperlink" Target="https://docs.google.com/open?id=0B5-iztf28QNJVUhuZVNxS2lZX1U" TargetMode="External"/><Relationship Id="rId909" Type="http://schemas.openxmlformats.org/officeDocument/2006/relationships/hyperlink" Target="https://docs.google.com/open?id=0B5-iztf28QNJVUhuZVNxS2lZX1U" TargetMode="External"/><Relationship Id="rId269" Type="http://schemas.openxmlformats.org/officeDocument/2006/relationships/hyperlink" Target="https://docs.google.com/open?id=0B5-iztf28QNJWVZLb1NwNDlVWmc" TargetMode="External"/><Relationship Id="rId262" Type="http://schemas.openxmlformats.org/officeDocument/2006/relationships/hyperlink" Target="https://docs.google.com/open?id=0B5-iztf28QNJaWd1TUFyOThWNTA" TargetMode="External"/><Relationship Id="rId261" Type="http://schemas.openxmlformats.org/officeDocument/2006/relationships/hyperlink" Target="https://docs.google.com/open?id=0B5-iztf28QNJRzZRTTg2UnBZN2s" TargetMode="External"/><Relationship Id="rId264" Type="http://schemas.openxmlformats.org/officeDocument/2006/relationships/hyperlink" Target="https://docs.google.com/open?id=0B5-iztf28QNJeHJlSUFpbU90RzA" TargetMode="External"/><Relationship Id="rId263" Type="http://schemas.openxmlformats.org/officeDocument/2006/relationships/hyperlink" Target="https://docs.google.com/open?id=0B5-iztf28QNJaWd1TUFyOThWNTA" TargetMode="External"/><Relationship Id="rId266" Type="http://schemas.openxmlformats.org/officeDocument/2006/relationships/hyperlink" Target="https://docs.google.com/open?id=0B5-iztf28QNJb2RJYXROREdVdTg" TargetMode="External"/><Relationship Id="rId265" Type="http://schemas.openxmlformats.org/officeDocument/2006/relationships/hyperlink" Target="https://docs.google.com/open?id=0B5-iztf28QNJeHJlSUFpbU90RzA" TargetMode="External"/><Relationship Id="rId268" Type="http://schemas.openxmlformats.org/officeDocument/2006/relationships/hyperlink" Target="https://docs.google.com/open?id=0B5-iztf28QNJWVZLb1NwNDlVWmc" TargetMode="External"/><Relationship Id="rId267" Type="http://schemas.openxmlformats.org/officeDocument/2006/relationships/hyperlink" Target="https://docs.google.com/open?id=0B5-iztf28QNJb2RJYXROREdVdTg" TargetMode="External"/><Relationship Id="rId270" Type="http://schemas.openxmlformats.org/officeDocument/2006/relationships/hyperlink" Target="https://docs.google.com/open?id=0B5-iztf28QNJYnRRYUF4UnE5TUk" TargetMode="External"/><Relationship Id="rId271" Type="http://schemas.openxmlformats.org/officeDocument/2006/relationships/hyperlink" Target="https://docs.google.com/open?id=0B5-iztf28QNJYnRRYUF4UnE5TUk" TargetMode="External"/><Relationship Id="rId925" Type="http://schemas.openxmlformats.org/officeDocument/2006/relationships/hyperlink" Target="https://docs.google.com/open?id=0B5-iztf28QNJV25PQjVBTW5pLUE" TargetMode="External"/><Relationship Id="rId279" Type="http://schemas.openxmlformats.org/officeDocument/2006/relationships/hyperlink" Target="https://docs.google.com/open?id=0B5-iztf28QNJNGlqUU5WNjRuaHM" TargetMode="External"/><Relationship Id="rId924" Type="http://schemas.openxmlformats.org/officeDocument/2006/relationships/hyperlink" Target="https://docs.google.com/open?id=0B5-iztf28QNJV25PQjVBTW5pLUE" TargetMode="External"/><Relationship Id="rId278" Type="http://schemas.openxmlformats.org/officeDocument/2006/relationships/hyperlink" Target="https://docs.google.com/open?id=0B5-iztf28QNJNGlqUU5WNjRuaHM" TargetMode="External"/><Relationship Id="rId923" Type="http://schemas.openxmlformats.org/officeDocument/2006/relationships/hyperlink" Target="https://docs.google.com/open?id=0B5-iztf28QNJeUYzVFVldHZ0UWs" TargetMode="External"/><Relationship Id="rId277" Type="http://schemas.openxmlformats.org/officeDocument/2006/relationships/hyperlink" Target="https://docs.google.com/open?id=0B5-iztf28QNJS0tTTU1pU0puMm8" TargetMode="External"/><Relationship Id="rId922" Type="http://schemas.openxmlformats.org/officeDocument/2006/relationships/hyperlink" Target="https://docs.google.com/open?id=0B5-iztf28QNJeUYzVFVldHZ0UWs" TargetMode="External"/><Relationship Id="rId276" Type="http://schemas.openxmlformats.org/officeDocument/2006/relationships/hyperlink" Target="https://docs.google.com/open?id=0B5-iztf28QNJS0tTTU1pU0puMm8" TargetMode="External"/><Relationship Id="rId921" Type="http://schemas.openxmlformats.org/officeDocument/2006/relationships/hyperlink" Target="https://docs.google.com/open?id=0B5-iztf28QNJekx3VFVLR0dyVW8" TargetMode="External"/><Relationship Id="rId275" Type="http://schemas.openxmlformats.org/officeDocument/2006/relationships/hyperlink" Target="https://docs.google.com/open?id=0B5-iztf28QNJRWR0bmR4WWR4Qmc" TargetMode="External"/><Relationship Id="rId920" Type="http://schemas.openxmlformats.org/officeDocument/2006/relationships/hyperlink" Target="https://docs.google.com/open?id=0B5-iztf28QNJekx3VFVLR0dyVW8" TargetMode="External"/><Relationship Id="rId274" Type="http://schemas.openxmlformats.org/officeDocument/2006/relationships/hyperlink" Target="https://docs.google.com/open?id=0B5-iztf28QNJRWR0bmR4WWR4Qmc" TargetMode="External"/><Relationship Id="rId273" Type="http://schemas.openxmlformats.org/officeDocument/2006/relationships/hyperlink" Target="https://docs.google.com/open?id=0B5-iztf28QNJTDgtMDNHWUhhMEU" TargetMode="External"/><Relationship Id="rId272" Type="http://schemas.openxmlformats.org/officeDocument/2006/relationships/hyperlink" Target="https://docs.google.com/open?id=0B5-iztf28QNJTDgtMDNHWUhhMEU" TargetMode="External"/><Relationship Id="rId281" Type="http://schemas.openxmlformats.org/officeDocument/2006/relationships/hyperlink" Target="https://docs.google.com/open?id=0B5-iztf28QNJX1hSUnBTRVRmM0E" TargetMode="External"/><Relationship Id="rId282" Type="http://schemas.openxmlformats.org/officeDocument/2006/relationships/hyperlink" Target="https://docs.google.com/open?id=0B5-iztf28QNJdG4yVEtnVFR5SU0" TargetMode="External"/><Relationship Id="rId280" Type="http://schemas.openxmlformats.org/officeDocument/2006/relationships/hyperlink" Target="https://docs.google.com/open?id=0B5-iztf28QNJX1hSUnBTRVRmM0E" TargetMode="External"/><Relationship Id="rId928" Type="http://schemas.openxmlformats.org/officeDocument/2006/relationships/hyperlink" Target="https://docs.google.com/open?id=0B5-iztf28QNJelJqNWl0YnBoOUk" TargetMode="External"/><Relationship Id="rId929" Type="http://schemas.openxmlformats.org/officeDocument/2006/relationships/hyperlink" Target="https://docs.google.com/open?id=0B5-iztf28QNJelJqNWl0YnBoOUk" TargetMode="External"/><Relationship Id="rId926" Type="http://schemas.openxmlformats.org/officeDocument/2006/relationships/hyperlink" Target="https://docs.google.com/open?id=0B5-iztf28QNJeG1qRWZTcHZPMXM" TargetMode="External"/><Relationship Id="rId927" Type="http://schemas.openxmlformats.org/officeDocument/2006/relationships/hyperlink" Target="https://docs.google.com/open?id=0B5-iztf28QNJeG1qRWZTcHZPMXM" TargetMode="External"/><Relationship Id="rId912" Type="http://schemas.openxmlformats.org/officeDocument/2006/relationships/hyperlink" Target="https://docs.google.com/open?id=0B5-iztf28QNJSmJSaFNqRW96M2M" TargetMode="External"/><Relationship Id="rId288" Type="http://schemas.openxmlformats.org/officeDocument/2006/relationships/hyperlink" Target="https://docs.google.com/open?id=0B5-iztf28QNJeEtJbUFDckF6eE0" TargetMode="External"/><Relationship Id="rId911" Type="http://schemas.openxmlformats.org/officeDocument/2006/relationships/hyperlink" Target="https://docs.google.com/open?id=0B5-iztf28QNJRU4yOVJ2UkFEbXc" TargetMode="External"/><Relationship Id="rId287" Type="http://schemas.openxmlformats.org/officeDocument/2006/relationships/hyperlink" Target="https://docs.google.com/open?id=0B5-iztf28QNJaE12U3VEVDljRjQ" TargetMode="External"/><Relationship Id="rId914" Type="http://schemas.openxmlformats.org/officeDocument/2006/relationships/hyperlink" Target="https://docs.google.com/open?id=0B5-iztf28QNJUEhIV25fbzFxM1U" TargetMode="External"/><Relationship Id="rId913" Type="http://schemas.openxmlformats.org/officeDocument/2006/relationships/hyperlink" Target="https://docs.google.com/open?id=0B5-iztf28QNJSmJSaFNqRW96M2M" TargetMode="External"/><Relationship Id="rId289" Type="http://schemas.openxmlformats.org/officeDocument/2006/relationships/hyperlink" Target="https://docs.google.com/open?id=0B5-iztf28QNJeEtJbUFDckF6eE0" TargetMode="External"/><Relationship Id="rId284" Type="http://schemas.openxmlformats.org/officeDocument/2006/relationships/hyperlink" Target="https://docs.google.com/open?id=0B5-iztf28QNJUHpfRFVNNlBLY00" TargetMode="External"/><Relationship Id="rId283" Type="http://schemas.openxmlformats.org/officeDocument/2006/relationships/hyperlink" Target="https://docs.google.com/open?id=0B5-iztf28QNJdG4yVEtnVFR5SU0" TargetMode="External"/><Relationship Id="rId910" Type="http://schemas.openxmlformats.org/officeDocument/2006/relationships/hyperlink" Target="https://docs.google.com/open?id=0B5-iztf28QNJRU4yOVJ2UkFEbXc" TargetMode="External"/><Relationship Id="rId286" Type="http://schemas.openxmlformats.org/officeDocument/2006/relationships/hyperlink" Target="https://docs.google.com/open?id=0B5-iztf28QNJaE12U3VEVDljRjQ" TargetMode="External"/><Relationship Id="rId285" Type="http://schemas.openxmlformats.org/officeDocument/2006/relationships/hyperlink" Target="https://docs.google.com/open?id=0B5-iztf28QNJUHpfRFVNNlBLY00" TargetMode="External"/><Relationship Id="rId919" Type="http://schemas.openxmlformats.org/officeDocument/2006/relationships/hyperlink" Target="https://docs.google.com/open?id=0B5-iztf28QNJaXpKS294RVJ2WkE" TargetMode="External"/><Relationship Id="rId290" Type="http://schemas.openxmlformats.org/officeDocument/2006/relationships/hyperlink" Target="https://docs.google.com/open?id=0B5-iztf28QNJMEdLaTVfSUluMkE" TargetMode="External"/><Relationship Id="rId291" Type="http://schemas.openxmlformats.org/officeDocument/2006/relationships/hyperlink" Target="https://docs.google.com/open?id=0B5-iztf28QNJMEdLaTVfSUluMkE" TargetMode="External"/><Relationship Id="rId292" Type="http://schemas.openxmlformats.org/officeDocument/2006/relationships/hyperlink" Target="https://docs.google.com/open?id=0B5-iztf28QNJVFA2WTVIWm9mcVU" TargetMode="External"/><Relationship Id="rId293" Type="http://schemas.openxmlformats.org/officeDocument/2006/relationships/hyperlink" Target="https://docs.google.com/open?id=0B5-iztf28QNJVFA2WTVIWm9mcVU" TargetMode="External"/><Relationship Id="rId915" Type="http://schemas.openxmlformats.org/officeDocument/2006/relationships/hyperlink" Target="https://docs.google.com/open?id=0B5-iztf28QNJUEhIV25fbzFxM1U" TargetMode="External"/><Relationship Id="rId916" Type="http://schemas.openxmlformats.org/officeDocument/2006/relationships/hyperlink" Target="https://docs.google.com/open?id=0B5-iztf28QNJcG9wVjFYUTdWd2c" TargetMode="External"/><Relationship Id="rId917" Type="http://schemas.openxmlformats.org/officeDocument/2006/relationships/hyperlink" Target="https://docs.google.com/open?id=0B5-iztf28QNJcG9wVjFYUTdWd2c" TargetMode="External"/><Relationship Id="rId918" Type="http://schemas.openxmlformats.org/officeDocument/2006/relationships/hyperlink" Target="https://docs.google.com/open?id=0B5-iztf28QNJaXpKS294RVJ2WkE" TargetMode="External"/><Relationship Id="rId561" Type="http://schemas.openxmlformats.org/officeDocument/2006/relationships/hyperlink" Target="https://docs.google.com/open?id=0B5-iztf28QNJR1JJc2thSnBSUDg" TargetMode="External"/><Relationship Id="rId756" Type="http://schemas.openxmlformats.org/officeDocument/2006/relationships/hyperlink" Target="https://docs.google.com/open?id=0B5-iztf28QNJRXNON3hlcjRqZWM" TargetMode="External"/><Relationship Id="rId560" Type="http://schemas.openxmlformats.org/officeDocument/2006/relationships/hyperlink" Target="https://docs.google.com/open?id=0B5-iztf28QNJR1JJc2thSnBSUDg" TargetMode="External"/><Relationship Id="rId755" Type="http://schemas.openxmlformats.org/officeDocument/2006/relationships/hyperlink" Target="https://docs.google.com/open?id=0B5-iztf28QNJS25rYkpVOHpjZWM" TargetMode="External"/><Relationship Id="rId754" Type="http://schemas.openxmlformats.org/officeDocument/2006/relationships/hyperlink" Target="https://docs.google.com/open?id=0B5-iztf28QNJS25rYkpVOHpjZWM" TargetMode="External"/><Relationship Id="rId959" Type="http://schemas.openxmlformats.org/officeDocument/2006/relationships/hyperlink" Target="https://docs.google.com/open?id=0B5-iztf28QNJaEpXeERQZG5PdXc" TargetMode="External"/><Relationship Id="rId753" Type="http://schemas.openxmlformats.org/officeDocument/2006/relationships/hyperlink" Target="https://docs.google.com/open?id=0B5-iztf28QNJOU5rWXN4OUNfWFU" TargetMode="External"/><Relationship Id="rId370" Type="http://schemas.openxmlformats.org/officeDocument/2006/relationships/hyperlink" Target="https://docs.google.com/open?id=0B5-iztf28QNJZ1g2NGJSbmpjbVE" TargetMode="External"/><Relationship Id="rId565" Type="http://schemas.openxmlformats.org/officeDocument/2006/relationships/hyperlink" Target="https://docs.google.com/open?id=0B5-iztf28QNJZVdTLUdjMmV1VzQ" TargetMode="External"/><Relationship Id="rId564" Type="http://schemas.openxmlformats.org/officeDocument/2006/relationships/hyperlink" Target="https://docs.google.com/open?id=0B5-iztf28QNJZVdTLUdjMmV1VzQ" TargetMode="External"/><Relationship Id="rId759" Type="http://schemas.openxmlformats.org/officeDocument/2006/relationships/hyperlink" Target="https://docs.google.com/open?id=0B5-iztf28QNJV1ZBVzc5bHJkcnc" TargetMode="External"/><Relationship Id="rId563" Type="http://schemas.openxmlformats.org/officeDocument/2006/relationships/hyperlink" Target="https://docs.google.com/open?id=0B5-iztf28QNJaEJUVFdhdXF6MXM" TargetMode="External"/><Relationship Id="rId758" Type="http://schemas.openxmlformats.org/officeDocument/2006/relationships/hyperlink" Target="https://docs.google.com/open?id=0B5-iztf28QNJV1ZBVzc5bHJkcnc" TargetMode="External"/><Relationship Id="rId562" Type="http://schemas.openxmlformats.org/officeDocument/2006/relationships/hyperlink" Target="https://docs.google.com/open?id=0B5-iztf28QNJaEJUVFdhdXF6MXM" TargetMode="External"/><Relationship Id="rId757" Type="http://schemas.openxmlformats.org/officeDocument/2006/relationships/hyperlink" Target="https://docs.google.com/open?id=0B5-iztf28QNJRXNON3hlcjRqZWM" TargetMode="External"/><Relationship Id="rId39" Type="http://schemas.openxmlformats.org/officeDocument/2006/relationships/hyperlink" Target="https://docs.google.com/open?id=0B5-iztf28QNJZGNEUENybG5mWkU" TargetMode="External"/><Relationship Id="rId569" Type="http://schemas.openxmlformats.org/officeDocument/2006/relationships/hyperlink" Target="https://docs.google.com/open?id=0B5-iztf28QNJQzhqRW9hakIxSmM" TargetMode="External"/><Relationship Id="rId38" Type="http://schemas.openxmlformats.org/officeDocument/2006/relationships/hyperlink" Target="https://docs.google.com/open?id=0B5-iztf28QNJZGNEUENybG5mWkU" TargetMode="External"/><Relationship Id="rId568" Type="http://schemas.openxmlformats.org/officeDocument/2006/relationships/hyperlink" Target="https://docs.google.com/open?id=0B5-iztf28QNJQzhqRW9hakIxSmM" TargetMode="External"/><Relationship Id="rId37" Type="http://schemas.openxmlformats.org/officeDocument/2006/relationships/hyperlink" Target="https://docs.google.com/open?id=0B5-iztf28QNJSnV0RUN1dk1JUVk" TargetMode="External"/><Relationship Id="rId567" Type="http://schemas.openxmlformats.org/officeDocument/2006/relationships/hyperlink" Target="https://docs.google.com/open?id=0B5-iztf28QNJN0E0RW5SZ1BrWUU" TargetMode="External"/><Relationship Id="rId36" Type="http://schemas.openxmlformats.org/officeDocument/2006/relationships/hyperlink" Target="https://docs.google.com/open?id=0B5-iztf28QNJSnV0RUN1dk1JUVk" TargetMode="External"/><Relationship Id="rId566" Type="http://schemas.openxmlformats.org/officeDocument/2006/relationships/hyperlink" Target="https://docs.google.com/open?id=0B5-iztf28QNJN0E0RW5SZ1BrWUU" TargetMode="External"/><Relationship Id="rId150" Type="http://schemas.openxmlformats.org/officeDocument/2006/relationships/hyperlink" Target="https://docs.google.com/open?id=0B5-iztf28QNJbXpVQnA1cHhKdUE" TargetMode="External"/><Relationship Id="rId752" Type="http://schemas.openxmlformats.org/officeDocument/2006/relationships/hyperlink" Target="https://docs.google.com/open?id=0B5-iztf28QNJOU5rWXN4OUNfWFU" TargetMode="External"/><Relationship Id="rId751" Type="http://schemas.openxmlformats.org/officeDocument/2006/relationships/hyperlink" Target="https://docs.google.com/open?id=0B5-iztf28QNJeURVVWtlZDZmelU" TargetMode="External"/><Relationship Id="rId750" Type="http://schemas.openxmlformats.org/officeDocument/2006/relationships/hyperlink" Target="https://docs.google.com/open?id=0B5-iztf28QNJeURVVWtlZDZmelU" TargetMode="External"/><Relationship Id="rId30" Type="http://schemas.openxmlformats.org/officeDocument/2006/relationships/hyperlink" Target="https://docs.google.com/open?id=0B5-iztf28QNJUHdoNVVCcUNwWEU" TargetMode="External"/><Relationship Id="rId142" Type="http://schemas.openxmlformats.org/officeDocument/2006/relationships/hyperlink" Target="https://docs.google.com/open?id=0B5-iztf28QNJY1pvbW5WNmZyem8" TargetMode="External"/><Relationship Id="rId31" Type="http://schemas.openxmlformats.org/officeDocument/2006/relationships/hyperlink" Target="https://docs.google.com/open?id=0B5-iztf28QNJUHdoNVVCcUNwWEU" TargetMode="External"/><Relationship Id="rId143" Type="http://schemas.openxmlformats.org/officeDocument/2006/relationships/hyperlink" Target="https://docs.google.com/open?id=0B5-iztf28QNJY1pvbW5WNmZyem8" TargetMode="External"/><Relationship Id="rId368" Type="http://schemas.openxmlformats.org/officeDocument/2006/relationships/hyperlink" Target="https://docs.google.com/open?id=0B5-iztf28QNJNF9QYXpRbGNkNzA" TargetMode="External"/><Relationship Id="rId140" Type="http://schemas.openxmlformats.org/officeDocument/2006/relationships/hyperlink" Target="https://docs.google.com/open?id=0B5-iztf28QNJbW9vRkJLaWdGSTg" TargetMode="External"/><Relationship Id="rId369" Type="http://schemas.openxmlformats.org/officeDocument/2006/relationships/hyperlink" Target="https://docs.google.com/open?id=0B5-iztf28QNJNF9QYXpRbGNkNzA" TargetMode="External"/><Relationship Id="rId141" Type="http://schemas.openxmlformats.org/officeDocument/2006/relationships/hyperlink" Target="https://docs.google.com/open?id=0B5-iztf28QNJbW9vRkJLaWdGSTg" TargetMode="External"/><Relationship Id="rId34" Type="http://schemas.openxmlformats.org/officeDocument/2006/relationships/hyperlink" Target="https://docs.google.com/open?id=0B5-iztf28QNJSjlLclZYd1JZNXM" TargetMode="External"/><Relationship Id="rId146" Type="http://schemas.openxmlformats.org/officeDocument/2006/relationships/hyperlink" Target="https://docs.google.com/open?id=0B5-iztf28QNJX1RTaGpmZ1lZbGM" TargetMode="External"/><Relationship Id="rId950" Type="http://schemas.openxmlformats.org/officeDocument/2006/relationships/hyperlink" Target="https://docs.google.com/open?id=0B5-iztf28QNJcjZvRkQ5WFV2TGc" TargetMode="External"/><Relationship Id="rId35" Type="http://schemas.openxmlformats.org/officeDocument/2006/relationships/hyperlink" Target="https://docs.google.com/open?id=0B5-iztf28QNJSjlLclZYd1JZNXM" TargetMode="External"/><Relationship Id="rId147" Type="http://schemas.openxmlformats.org/officeDocument/2006/relationships/hyperlink" Target="https://docs.google.com/open?id=0B5-iztf28QNJX1RTaGpmZ1lZbGM" TargetMode="External"/><Relationship Id="rId32" Type="http://schemas.openxmlformats.org/officeDocument/2006/relationships/hyperlink" Target="https://docs.google.com/open?id=0B5-iztf28QNJR0tsbzlZMzB1Z2s" TargetMode="External"/><Relationship Id="rId144" Type="http://schemas.openxmlformats.org/officeDocument/2006/relationships/hyperlink" Target="https://docs.google.com/open?id=0B5-iztf28QNJZWUzdTVOc2ZRYzA" TargetMode="External"/><Relationship Id="rId33" Type="http://schemas.openxmlformats.org/officeDocument/2006/relationships/hyperlink" Target="https://docs.google.com/open?id=0B5-iztf28QNJR0tsbzlZMzB1Z2s" TargetMode="External"/><Relationship Id="rId145" Type="http://schemas.openxmlformats.org/officeDocument/2006/relationships/hyperlink" Target="https://docs.google.com/open?id=0B5-iztf28QNJZWUzdTVOc2ZRYzA" TargetMode="External"/><Relationship Id="rId953" Type="http://schemas.openxmlformats.org/officeDocument/2006/relationships/hyperlink" Target="https://docs.google.com/open?id=0B5-iztf28QNJNm9HVWkxRUFHTmM" TargetMode="External"/><Relationship Id="rId362" Type="http://schemas.openxmlformats.org/officeDocument/2006/relationships/hyperlink" Target="https://docs.google.com/open?id=0B5-iztf28QNJZTM3bnh0RGdtM0U" TargetMode="External"/><Relationship Id="rId954" Type="http://schemas.openxmlformats.org/officeDocument/2006/relationships/hyperlink" Target="https://docs.google.com/open?id=0B5-iztf28QNJTzdrLWoybkFxUGM" TargetMode="External"/><Relationship Id="rId363" Type="http://schemas.openxmlformats.org/officeDocument/2006/relationships/hyperlink" Target="https://docs.google.com/open?id=0B5-iztf28QNJZTM3bnh0RGdtM0U" TargetMode="External"/><Relationship Id="rId951" Type="http://schemas.openxmlformats.org/officeDocument/2006/relationships/hyperlink" Target="https://docs.google.com/open?id=0B5-iztf28QNJcjZvRkQ5WFV2TGc" TargetMode="External"/><Relationship Id="rId360" Type="http://schemas.openxmlformats.org/officeDocument/2006/relationships/hyperlink" Target="https://docs.google.com/open?id=0B5-iztf28QNJUjRPVzVUVjE1ODQ" TargetMode="External"/><Relationship Id="rId148" Type="http://schemas.openxmlformats.org/officeDocument/2006/relationships/hyperlink" Target="https://docs.google.com/open?id=0B5-iztf28QNJMlNDcDV4NksyaXc" TargetMode="External"/><Relationship Id="rId952" Type="http://schemas.openxmlformats.org/officeDocument/2006/relationships/hyperlink" Target="https://docs.google.com/open?id=0B5-iztf28QNJNm9HVWkxRUFHTmM" TargetMode="External"/><Relationship Id="rId361" Type="http://schemas.openxmlformats.org/officeDocument/2006/relationships/hyperlink" Target="https://docs.google.com/open?id=0B5-iztf28QNJUjRPVzVUVjE1ODQ" TargetMode="External"/><Relationship Id="rId149" Type="http://schemas.openxmlformats.org/officeDocument/2006/relationships/hyperlink" Target="https://docs.google.com/open?id=0B5-iztf28QNJMlNDcDV4NksyaXc" TargetMode="External"/><Relationship Id="rId957" Type="http://schemas.openxmlformats.org/officeDocument/2006/relationships/hyperlink" Target="https://docs.google.com/open?id=0B5-iztf28QNJX19tUkxrNDlYRkk" TargetMode="External"/><Relationship Id="rId366" Type="http://schemas.openxmlformats.org/officeDocument/2006/relationships/hyperlink" Target="https://docs.google.com/open?id=0B5-iztf28QNJOHNSU1JfaTBoaTQ" TargetMode="External"/><Relationship Id="rId958" Type="http://schemas.openxmlformats.org/officeDocument/2006/relationships/hyperlink" Target="https://docs.google.com/open?id=0B5-iztf28QNJaEpXeERQZG5PdXc" TargetMode="External"/><Relationship Id="rId367" Type="http://schemas.openxmlformats.org/officeDocument/2006/relationships/hyperlink" Target="https://docs.google.com/open?id=0B5-iztf28QNJOHNSU1JfaTBoaTQ" TargetMode="External"/><Relationship Id="rId955" Type="http://schemas.openxmlformats.org/officeDocument/2006/relationships/hyperlink" Target="https://docs.google.com/open?id=0B5-iztf28QNJTzdrLWoybkFxUGM" TargetMode="External"/><Relationship Id="rId364" Type="http://schemas.openxmlformats.org/officeDocument/2006/relationships/hyperlink" Target="https://docs.google.com/open?id=0B5-iztf28QNJaGhpX0hPQkhZMzQ" TargetMode="External"/><Relationship Id="rId956" Type="http://schemas.openxmlformats.org/officeDocument/2006/relationships/hyperlink" Target="https://docs.google.com/open?id=0B5-iztf28QNJX19tUkxrNDlYRkk" TargetMode="External"/><Relationship Id="rId365" Type="http://schemas.openxmlformats.org/officeDocument/2006/relationships/hyperlink" Target="https://docs.google.com/open?id=0B5-iztf28QNJaGhpX0hPQkhZMzQ" TargetMode="External"/><Relationship Id="rId765" Type="http://schemas.openxmlformats.org/officeDocument/2006/relationships/hyperlink" Target="https://docs.google.com/open?id=0B5-iztf28QNJMnkySXNtcnN6aFk" TargetMode="External"/><Relationship Id="rId764" Type="http://schemas.openxmlformats.org/officeDocument/2006/relationships/hyperlink" Target="https://docs.google.com/open?id=0B5-iztf28QNJMnkySXNtcnN6aFk" TargetMode="External"/><Relationship Id="rId550" Type="http://schemas.openxmlformats.org/officeDocument/2006/relationships/hyperlink" Target="https://docs.google.com/open?id=0B5-iztf28QNJNzdDZUlMVjVfUjA" TargetMode="External"/><Relationship Id="rId767" Type="http://schemas.openxmlformats.org/officeDocument/2006/relationships/hyperlink" Target="https://docs.google.com/open?id=0B5-iztf28QNJcUpTVVphbTZrRk0" TargetMode="External"/><Relationship Id="rId766" Type="http://schemas.openxmlformats.org/officeDocument/2006/relationships/hyperlink" Target="https://docs.google.com/open?id=0B5-iztf28QNJcUpTVVphbTZrRk0" TargetMode="External"/><Relationship Id="rId769" Type="http://schemas.openxmlformats.org/officeDocument/2006/relationships/hyperlink" Target="https://docs.google.com/open?id=0B5-iztf28QNJdE5iV1ZDQlM4bW8" TargetMode="External"/><Relationship Id="rId552" Type="http://schemas.openxmlformats.org/officeDocument/2006/relationships/hyperlink" Target="https://docs.google.com/open?id=0B5-iztf28QNJNUVpUzI3WlhBdE0" TargetMode="External"/><Relationship Id="rId551" Type="http://schemas.openxmlformats.org/officeDocument/2006/relationships/hyperlink" Target="https://docs.google.com/open?id=0B5-iztf28QNJNzdDZUlMVjVfUjA" TargetMode="External"/><Relationship Id="rId768" Type="http://schemas.openxmlformats.org/officeDocument/2006/relationships/hyperlink" Target="https://docs.google.com/open?id=0B5-iztf28QNJdE5iV1ZDQlM4bW8" TargetMode="External"/><Relationship Id="rId554" Type="http://schemas.openxmlformats.org/officeDocument/2006/relationships/hyperlink" Target="https://docs.google.com/open?id=0B5-iztf28QNJdHRJTVQ1bldZM0E" TargetMode="External"/><Relationship Id="rId553" Type="http://schemas.openxmlformats.org/officeDocument/2006/relationships/hyperlink" Target="https://docs.google.com/open?id=0B5-iztf28QNJNUVpUzI3WlhBdE0" TargetMode="External"/><Relationship Id="rId48" Type="http://schemas.openxmlformats.org/officeDocument/2006/relationships/hyperlink" Target="https://docs.google.com/open?id=0B5-iztf28QNJcTE3enRtUVFZRzA" TargetMode="External"/><Relationship Id="rId556" Type="http://schemas.openxmlformats.org/officeDocument/2006/relationships/hyperlink" Target="https://docs.google.com/open?id=0B5-iztf28QNJWWVpbng3ZGpIUUk" TargetMode="External"/><Relationship Id="rId47" Type="http://schemas.openxmlformats.org/officeDocument/2006/relationships/hyperlink" Target="https://docs.google.com/open?id=0B5-iztf28QNJM2E5a0ROSU5HejQ" TargetMode="External"/><Relationship Id="rId555" Type="http://schemas.openxmlformats.org/officeDocument/2006/relationships/hyperlink" Target="https://docs.google.com/open?id=0B5-iztf28QNJdHRJTVQ1bldZM0E" TargetMode="External"/><Relationship Id="rId558" Type="http://schemas.openxmlformats.org/officeDocument/2006/relationships/hyperlink" Target="https://docs.google.com/open?id=0B5-iztf28QNJZmh2VU9HTndubEE" TargetMode="External"/><Relationship Id="rId49" Type="http://schemas.openxmlformats.org/officeDocument/2006/relationships/hyperlink" Target="https://docs.google.com/open?id=0B5-iztf28QNJcTE3enRtUVFZRzA" TargetMode="External"/><Relationship Id="rId557" Type="http://schemas.openxmlformats.org/officeDocument/2006/relationships/hyperlink" Target="https://docs.google.com/open?id=0B5-iztf28QNJWWVpbng3ZGpIUUk" TargetMode="External"/><Relationship Id="rId761" Type="http://schemas.openxmlformats.org/officeDocument/2006/relationships/hyperlink" Target="https://docs.google.com/open?id=0B5-iztf28QNJdEJBT2QyOF9GeVE" TargetMode="External"/><Relationship Id="rId559" Type="http://schemas.openxmlformats.org/officeDocument/2006/relationships/hyperlink" Target="https://docs.google.com/open?id=0B5-iztf28QNJZmh2VU9HTndubEE" TargetMode="External"/><Relationship Id="rId760" Type="http://schemas.openxmlformats.org/officeDocument/2006/relationships/hyperlink" Target="https://docs.google.com/open?id=0B5-iztf28QNJdEJBT2QyOF9GeVE" TargetMode="External"/><Relationship Id="rId763" Type="http://schemas.openxmlformats.org/officeDocument/2006/relationships/hyperlink" Target="https://docs.google.com/open?id=0B5-iztf28QNJLUdTbEFPY21sMEE" TargetMode="External"/><Relationship Id="rId762" Type="http://schemas.openxmlformats.org/officeDocument/2006/relationships/hyperlink" Target="https://docs.google.com/open?id=0B5-iztf28QNJLUdTbEFPY21sMEE" TargetMode="External"/><Relationship Id="rId357" Type="http://schemas.openxmlformats.org/officeDocument/2006/relationships/hyperlink" Target="https://docs.google.com/open?id=0B5-iztf28QNJTnV1Z2h2TTZ2ejA" TargetMode="External"/><Relationship Id="rId358" Type="http://schemas.openxmlformats.org/officeDocument/2006/relationships/hyperlink" Target="https://docs.google.com/open?id=0B5-iztf28QNJeENjZDZTd3lzd2M" TargetMode="External"/><Relationship Id="rId40" Type="http://schemas.openxmlformats.org/officeDocument/2006/relationships/hyperlink" Target="https://docs.google.com/open?id=0B5-iztf28QNJbk1YeXZBQmdoVGs" TargetMode="External"/><Relationship Id="rId130" Type="http://schemas.openxmlformats.org/officeDocument/2006/relationships/hyperlink" Target="https://docs.google.com/open?id=0B5-iztf28QNJM21naWJVWFhHMVk" TargetMode="External"/><Relationship Id="rId359" Type="http://schemas.openxmlformats.org/officeDocument/2006/relationships/hyperlink" Target="https://docs.google.com/open?id=0B5-iztf28QNJeENjZDZTd3lzd2M" TargetMode="External"/><Relationship Id="rId41" Type="http://schemas.openxmlformats.org/officeDocument/2006/relationships/hyperlink" Target="https://docs.google.com/open?id=0B5-iztf28QNJbk1YeXZBQmdoVGs" TargetMode="External"/><Relationship Id="rId131" Type="http://schemas.openxmlformats.org/officeDocument/2006/relationships/hyperlink" Target="https://docs.google.com/open?id=0B5-iztf28QNJM21naWJVWFhHMVk" TargetMode="External"/><Relationship Id="rId42" Type="http://schemas.openxmlformats.org/officeDocument/2006/relationships/hyperlink" Target="https://docs.google.com/open?id=0B5-iztf28QNJRnd5NEFTVHA1U3M" TargetMode="External"/><Relationship Id="rId132" Type="http://schemas.openxmlformats.org/officeDocument/2006/relationships/hyperlink" Target="https://docs.google.com/open?id=0B5-iztf28QNJQnYyN05QQUZ4ZTA" TargetMode="External"/><Relationship Id="rId43" Type="http://schemas.openxmlformats.org/officeDocument/2006/relationships/hyperlink" Target="https://docs.google.com/open?id=0B5-iztf28QNJRnd5NEFTVHA1U3M" TargetMode="External"/><Relationship Id="rId133" Type="http://schemas.openxmlformats.org/officeDocument/2006/relationships/hyperlink" Target="https://docs.google.com/open?id=0B5-iztf28QNJQnYyN05QQUZ4ZTA" TargetMode="External"/><Relationship Id="rId44" Type="http://schemas.openxmlformats.org/officeDocument/2006/relationships/hyperlink" Target="https://docs.google.com/open?id=0B5-iztf28QNJUkpoRlBxWi1TZnM" TargetMode="External"/><Relationship Id="rId134" Type="http://schemas.openxmlformats.org/officeDocument/2006/relationships/hyperlink" Target="https://docs.google.com/open?id=0B5-iztf28QNJdmM5MkxIcGtKU3M" TargetMode="External"/><Relationship Id="rId960" Type="http://schemas.openxmlformats.org/officeDocument/2006/relationships/hyperlink" Target="https://docs.google.com/open?id=0B5-iztf28QNJVnMxaGlRQnRVZEk" TargetMode="External"/><Relationship Id="rId45" Type="http://schemas.openxmlformats.org/officeDocument/2006/relationships/hyperlink" Target="https://docs.google.com/open?id=0B5-iztf28QNJUkpoRlBxWi1TZnM" TargetMode="External"/><Relationship Id="rId135" Type="http://schemas.openxmlformats.org/officeDocument/2006/relationships/hyperlink" Target="https://docs.google.com/open?id=0B5-iztf28QNJdmM5MkxIcGtKU3M" TargetMode="External"/><Relationship Id="rId961" Type="http://schemas.openxmlformats.org/officeDocument/2006/relationships/hyperlink" Target="https://docs.google.com/open?id=0B5-iztf28QNJVnMxaGlRQnRVZEk" TargetMode="External"/><Relationship Id="rId46" Type="http://schemas.openxmlformats.org/officeDocument/2006/relationships/hyperlink" Target="https://docs.google.com/open?id=0B5-iztf28QNJM2E5a0ROSU5HejQ" TargetMode="External"/><Relationship Id="rId136" Type="http://schemas.openxmlformats.org/officeDocument/2006/relationships/hyperlink" Target="https://docs.google.com/open?id=0B5-iztf28QNJZXlRR3ppcjNiMkE" TargetMode="External"/><Relationship Id="rId962" Type="http://schemas.openxmlformats.org/officeDocument/2006/relationships/hyperlink" Target="https://docs.google.com/open?id=0B5-iztf28QNJYi03VHgzYXQzTVU" TargetMode="External"/><Relationship Id="rId137" Type="http://schemas.openxmlformats.org/officeDocument/2006/relationships/hyperlink" Target="https://docs.google.com/open?id=0B5-iztf28QNJZXlRR3ppcjNiMkE" TargetMode="External"/><Relationship Id="rId963" Type="http://schemas.openxmlformats.org/officeDocument/2006/relationships/hyperlink" Target="https://docs.google.com/open?id=0B5-iztf28QNJYi03VHgzYXQzTVU" TargetMode="External"/><Relationship Id="rId350" Type="http://schemas.openxmlformats.org/officeDocument/2006/relationships/hyperlink" Target="https://docs.google.com/open?id=0B5-iztf28QNJRjlkbjVfM0ZrVWc" TargetMode="External"/><Relationship Id="rId138" Type="http://schemas.openxmlformats.org/officeDocument/2006/relationships/hyperlink" Target="https://docs.google.com/open?id=0B5-iztf28QNJR1FyLThWMlZHV28" TargetMode="External"/><Relationship Id="rId964" Type="http://schemas.openxmlformats.org/officeDocument/2006/relationships/hyperlink" Target="https://docs.google.com/open?id=0B5-iztf28QNJQ3lfVU5pN1ZfTmc" TargetMode="External"/><Relationship Id="rId351" Type="http://schemas.openxmlformats.org/officeDocument/2006/relationships/hyperlink" Target="https://docs.google.com/open?id=0B5-iztf28QNJRjlkbjVfM0ZrVWc" TargetMode="External"/><Relationship Id="rId139" Type="http://schemas.openxmlformats.org/officeDocument/2006/relationships/hyperlink" Target="https://docs.google.com/open?id=0B5-iztf28QNJR1FyLThWMlZHV28" TargetMode="External"/><Relationship Id="rId965" Type="http://schemas.openxmlformats.org/officeDocument/2006/relationships/hyperlink" Target="https://docs.google.com/open?id=0B5-iztf28QNJQ3lfVU5pN1ZfTmc" TargetMode="External"/><Relationship Id="rId352" Type="http://schemas.openxmlformats.org/officeDocument/2006/relationships/hyperlink" Target="https://docs.google.com/open?id=0B5-iztf28QNJV2dGUmhlMjRsWDA" TargetMode="External"/><Relationship Id="rId966" Type="http://schemas.openxmlformats.org/officeDocument/2006/relationships/drawing" Target="../drawings/worksheetdrawing3.xml"/><Relationship Id="rId353" Type="http://schemas.openxmlformats.org/officeDocument/2006/relationships/hyperlink" Target="https://docs.google.com/open?id=0B5-iztf28QNJV2dGUmhlMjRsWDA" TargetMode="External"/><Relationship Id="rId967" Type="http://schemas.openxmlformats.org/officeDocument/2006/relationships/vmlDrawing" Target="../drawings/vmlDrawing1.vml"/><Relationship Id="rId354" Type="http://schemas.openxmlformats.org/officeDocument/2006/relationships/hyperlink" Target="https://docs.google.com/open?id=0B5-iztf28QNJSnZtNks2S1EwdWM" TargetMode="External"/><Relationship Id="rId355" Type="http://schemas.openxmlformats.org/officeDocument/2006/relationships/hyperlink" Target="https://docs.google.com/open?id=0B5-iztf28QNJSnZtNks2S1EwdWM" TargetMode="External"/><Relationship Id="rId356" Type="http://schemas.openxmlformats.org/officeDocument/2006/relationships/hyperlink" Target="https://docs.google.com/open?id=0B5-iztf28QNJTnV1Z2h2TTZ2ejA" TargetMode="External"/><Relationship Id="rId543" Type="http://schemas.openxmlformats.org/officeDocument/2006/relationships/hyperlink" Target="https://docs.google.com/open?id=0B5-iztf28QNJN2F1VFpXa3hKSVk" TargetMode="External"/><Relationship Id="rId738" Type="http://schemas.openxmlformats.org/officeDocument/2006/relationships/hyperlink" Target="https://docs.google.com/open?id=0B5-iztf28QNJMmlLOThVVV94eE0" TargetMode="External"/><Relationship Id="rId542" Type="http://schemas.openxmlformats.org/officeDocument/2006/relationships/hyperlink" Target="https://docs.google.com/open?id=0B5-iztf28QNJN2F1VFpXa3hKSVk" TargetMode="External"/><Relationship Id="rId737" Type="http://schemas.openxmlformats.org/officeDocument/2006/relationships/hyperlink" Target="https://docs.google.com/open?id=0B5-iztf28QNJcmMwVThHazRtbUE" TargetMode="External"/><Relationship Id="rId541" Type="http://schemas.openxmlformats.org/officeDocument/2006/relationships/hyperlink" Target="https://docs.google.com/open?id=0B5-iztf28QNJd25MWGhiUTY5TW8" TargetMode="External"/><Relationship Id="rId736" Type="http://schemas.openxmlformats.org/officeDocument/2006/relationships/hyperlink" Target="https://docs.google.com/open?id=0B5-iztf28QNJcmMwVThHazRtbUE" TargetMode="External"/><Relationship Id="rId540" Type="http://schemas.openxmlformats.org/officeDocument/2006/relationships/hyperlink" Target="https://docs.google.com/open?id=0B5-iztf28QNJd25MWGhiUTY5TW8" TargetMode="External"/><Relationship Id="rId735" Type="http://schemas.openxmlformats.org/officeDocument/2006/relationships/hyperlink" Target="https://docs.google.com/open?id=0B5-iztf28QNJWDR5VFpOX1NPdGM" TargetMode="External"/><Relationship Id="rId734" Type="http://schemas.openxmlformats.org/officeDocument/2006/relationships/hyperlink" Target="https://docs.google.com/open?id=0B5-iztf28QNJWDR5VFpOX1NPdGM" TargetMode="External"/><Relationship Id="rId939" Type="http://schemas.openxmlformats.org/officeDocument/2006/relationships/hyperlink" Target="https://docs.google.com/open?id=0B5-iztf28QNJMnJrN0tTNEpqdE0" TargetMode="External"/><Relationship Id="rId733" Type="http://schemas.openxmlformats.org/officeDocument/2006/relationships/hyperlink" Target="https://docs.google.com/open?id=0B5-iztf28QNJWnNWbjFkNEItdHc" TargetMode="External"/><Relationship Id="rId938" Type="http://schemas.openxmlformats.org/officeDocument/2006/relationships/hyperlink" Target="https://docs.google.com/open?id=0B5-iztf28QNJMnJrN0tTNEpqdE0" TargetMode="External"/><Relationship Id="rId732" Type="http://schemas.openxmlformats.org/officeDocument/2006/relationships/hyperlink" Target="https://docs.google.com/open?id=0B5-iztf28QNJWnNWbjFkNEItdHc" TargetMode="External"/><Relationship Id="rId937" Type="http://schemas.openxmlformats.org/officeDocument/2006/relationships/hyperlink" Target="https://docs.google.com/open?id=0B5-iztf28QNJLUxobkVVYTBJRlk" TargetMode="External"/><Relationship Id="rId731" Type="http://schemas.openxmlformats.org/officeDocument/2006/relationships/hyperlink" Target="https://docs.google.com/open?id=0B5-iztf28QNJeDlOdGFSTERPTHM" TargetMode="External"/><Relationship Id="rId172" Type="http://schemas.openxmlformats.org/officeDocument/2006/relationships/hyperlink" Target="https://docs.google.com/open?id=0B5-iztf28QNJM2pKc0xhMHZlSEU" TargetMode="External"/><Relationship Id="rId730" Type="http://schemas.openxmlformats.org/officeDocument/2006/relationships/hyperlink" Target="https://docs.google.com/open?id=0B5-iztf28QNJeDlOdGFSTERPTHM" TargetMode="External"/><Relationship Id="rId171" Type="http://schemas.openxmlformats.org/officeDocument/2006/relationships/hyperlink" Target="https://docs.google.com/open?id=0B5-iztf28QNJREVTV1VWeU1OWG8" TargetMode="External"/><Relationship Id="rId19" Type="http://schemas.openxmlformats.org/officeDocument/2006/relationships/hyperlink" Target="https://docs.google.com/open?id=0B5-iztf28QNJT1F4WmtuQ1pJNU0" TargetMode="External"/><Relationship Id="rId170" Type="http://schemas.openxmlformats.org/officeDocument/2006/relationships/hyperlink" Target="https://docs.google.com/open?id=0B5-iztf28QNJREVTV1VWeU1OWG8" TargetMode="External"/><Relationship Id="rId549" Type="http://schemas.openxmlformats.org/officeDocument/2006/relationships/hyperlink" Target="https://docs.google.com/open?id=0B5-iztf28QNJNzh2MzJNdmdjMlE" TargetMode="External"/><Relationship Id="rId18" Type="http://schemas.openxmlformats.org/officeDocument/2006/relationships/hyperlink" Target="https://docs.google.com/open?id=0B5-iztf28QNJT1F4WmtuQ1pJNU0" TargetMode="External"/><Relationship Id="rId548" Type="http://schemas.openxmlformats.org/officeDocument/2006/relationships/hyperlink" Target="https://docs.google.com/open?id=0B5-iztf28QNJNzh2MzJNdmdjMlE" TargetMode="External"/><Relationship Id="rId17" Type="http://schemas.openxmlformats.org/officeDocument/2006/relationships/hyperlink" Target="https://docs.google.com/open?id=0B5-iztf28QNJUjJ5MEl0Rl9NSDQ" TargetMode="External"/><Relationship Id="rId547" Type="http://schemas.openxmlformats.org/officeDocument/2006/relationships/hyperlink" Target="https://docs.google.com/open?id=0B5-iztf28QNJOWY1Yi1zYUhFUkE" TargetMode="External"/><Relationship Id="rId16" Type="http://schemas.openxmlformats.org/officeDocument/2006/relationships/hyperlink" Target="https://docs.google.com/open?id=0B5-iztf28QNJUjJ5MEl0Rl9NSDQ" TargetMode="External"/><Relationship Id="rId546" Type="http://schemas.openxmlformats.org/officeDocument/2006/relationships/hyperlink" Target="https://docs.google.com/open?id=0B5-iztf28QNJOWY1Yi1zYUhFUkE" TargetMode="External"/><Relationship Id="rId15" Type="http://schemas.openxmlformats.org/officeDocument/2006/relationships/hyperlink" Target="https://docs.google.com/open?id=0B5-iztf28QNJMDZtamJaenlteUU" TargetMode="External"/><Relationship Id="rId545" Type="http://schemas.openxmlformats.org/officeDocument/2006/relationships/hyperlink" Target="https://docs.google.com/open?id=0B5-iztf28QNJNjYxYmgyMzNiOEE" TargetMode="External"/><Relationship Id="rId14" Type="http://schemas.openxmlformats.org/officeDocument/2006/relationships/hyperlink" Target="https://docs.google.com/open?id=0B5-iztf28QNJMDZtamJaenlteUU" TargetMode="External"/><Relationship Id="rId544" Type="http://schemas.openxmlformats.org/officeDocument/2006/relationships/hyperlink" Target="https://docs.google.com/open?id=0B5-iztf28QNJNjYxYmgyMzNiOEE" TargetMode="External"/><Relationship Id="rId12" Type="http://schemas.openxmlformats.org/officeDocument/2006/relationships/hyperlink" Target="https://docs.google.com/open?id=0B5-iztf28QNJRW42dy1OU2RMaE0" TargetMode="External"/><Relationship Id="rId168" Type="http://schemas.openxmlformats.org/officeDocument/2006/relationships/hyperlink" Target="https://docs.google.com/open?id=0B5-iztf28QNJM183VXcxOTZMd1k" TargetMode="External"/><Relationship Id="rId13" Type="http://schemas.openxmlformats.org/officeDocument/2006/relationships/hyperlink" Target="https://docs.google.com/open?id=0B5-iztf28QNJRW42dy1OU2RMaE0" TargetMode="External"/><Relationship Id="rId169" Type="http://schemas.openxmlformats.org/officeDocument/2006/relationships/hyperlink" Target="https://docs.google.com/open?id=0B5-iztf28QNJM183VXcxOTZMd1k" TargetMode="External"/><Relationship Id="rId10" Type="http://schemas.openxmlformats.org/officeDocument/2006/relationships/hyperlink" Target="https://docs.google.com/open?id=0B5-iztf28QNJaURIZUlZZnJhMEk" TargetMode="External"/><Relationship Id="rId166" Type="http://schemas.openxmlformats.org/officeDocument/2006/relationships/hyperlink" Target="https://docs.google.com/open?id=0B5-iztf28QNJMlpSdnRFMlk2d3c" TargetMode="External"/><Relationship Id="rId11" Type="http://schemas.openxmlformats.org/officeDocument/2006/relationships/hyperlink" Target="https://docs.google.com/open?id=0B5-iztf28QNJaURIZUlZZnJhMEk" TargetMode="External"/><Relationship Id="rId167" Type="http://schemas.openxmlformats.org/officeDocument/2006/relationships/hyperlink" Target="https://docs.google.com/open?id=0B5-iztf28QNJMlpSdnRFMlk2d3c" TargetMode="External"/><Relationship Id="rId348" Type="http://schemas.openxmlformats.org/officeDocument/2006/relationships/hyperlink" Target="https://docs.google.com/open?id=0B5-iztf28QNJVllZcjE5Nk90OG8" TargetMode="External"/><Relationship Id="rId164" Type="http://schemas.openxmlformats.org/officeDocument/2006/relationships/hyperlink" Target="https://docs.google.com/open?id=0B5-iztf28QNJd3B5UUlNM2hfUGM" TargetMode="External"/><Relationship Id="rId349" Type="http://schemas.openxmlformats.org/officeDocument/2006/relationships/hyperlink" Target="https://docs.google.com/open?id=0B5-iztf28QNJVllZcjE5Nk90OG8" TargetMode="External"/><Relationship Id="rId165" Type="http://schemas.openxmlformats.org/officeDocument/2006/relationships/hyperlink" Target="https://docs.google.com/open?id=0B5-iztf28QNJd3B5UUlNM2hfUGM" TargetMode="External"/><Relationship Id="rId346" Type="http://schemas.openxmlformats.org/officeDocument/2006/relationships/hyperlink" Target="https://docs.google.com/open?id=0B5-iztf28QNJdXg1c3Y1ZTZqRkk" TargetMode="External"/><Relationship Id="rId162" Type="http://schemas.openxmlformats.org/officeDocument/2006/relationships/hyperlink" Target="https://docs.google.com/open?id=0B5-iztf28QNJTm0tRkFNN21UU0U" TargetMode="External"/><Relationship Id="rId347" Type="http://schemas.openxmlformats.org/officeDocument/2006/relationships/hyperlink" Target="https://docs.google.com/open?id=0B5-iztf28QNJdXg1c3Y1ZTZqRkk" TargetMode="External"/><Relationship Id="rId163" Type="http://schemas.openxmlformats.org/officeDocument/2006/relationships/hyperlink" Target="https://docs.google.com/open?id=0B5-iztf28QNJTm0tRkFNN21UU0U" TargetMode="External"/><Relationship Id="rId935" Type="http://schemas.openxmlformats.org/officeDocument/2006/relationships/hyperlink" Target="https://docs.google.com/open?id=0B5-iztf28QNJc1BrQzZ1VTlqdk0" TargetMode="External"/><Relationship Id="rId344" Type="http://schemas.openxmlformats.org/officeDocument/2006/relationships/hyperlink" Target="https://docs.google.com/open?id=0B5-iztf28QNJZWZvZTJzeEhkV3c" TargetMode="External"/><Relationship Id="rId936" Type="http://schemas.openxmlformats.org/officeDocument/2006/relationships/hyperlink" Target="https://docs.google.com/open?id=0B5-iztf28QNJLUxobkVVYTBJRlk" TargetMode="External"/><Relationship Id="rId345" Type="http://schemas.openxmlformats.org/officeDocument/2006/relationships/hyperlink" Target="https://docs.google.com/open?id=0B5-iztf28QNJZWZvZTJzeEhkV3c" TargetMode="External"/><Relationship Id="rId933" Type="http://schemas.openxmlformats.org/officeDocument/2006/relationships/hyperlink" Target="https://docs.google.com/open?id=0B5-iztf28QNJR1JTOHJVMEQyaTQ" TargetMode="External"/><Relationship Id="rId342" Type="http://schemas.openxmlformats.org/officeDocument/2006/relationships/hyperlink" Target="https://docs.google.com/open?id=0B5-iztf28QNJbExKaWNYQVhDYWs" TargetMode="External"/><Relationship Id="rId934" Type="http://schemas.openxmlformats.org/officeDocument/2006/relationships/hyperlink" Target="https://docs.google.com/open?id=0B5-iztf28QNJc1BrQzZ1VTlqdk0" TargetMode="External"/><Relationship Id="rId343" Type="http://schemas.openxmlformats.org/officeDocument/2006/relationships/hyperlink" Target="https://docs.google.com/open?id=0B5-iztf28QNJbExKaWNYQVhDYWs" TargetMode="External"/><Relationship Id="rId931" Type="http://schemas.openxmlformats.org/officeDocument/2006/relationships/hyperlink" Target="https://docs.google.com/open?id=0B5-iztf28QNJRGxfWGphZVFhUnc" TargetMode="External"/><Relationship Id="rId340" Type="http://schemas.openxmlformats.org/officeDocument/2006/relationships/hyperlink" Target="https://docs.google.com/open?id=0B5-iztf28QNJOXphYXNUcG5NSDA" TargetMode="External"/><Relationship Id="rId932" Type="http://schemas.openxmlformats.org/officeDocument/2006/relationships/hyperlink" Target="https://docs.google.com/open?id=0B5-iztf28QNJR1JTOHJVMEQyaTQ" TargetMode="External"/><Relationship Id="rId341" Type="http://schemas.openxmlformats.org/officeDocument/2006/relationships/hyperlink" Target="https://docs.google.com/open?id=0B5-iztf28QNJOXphYXNUcG5NSDA" TargetMode="External"/><Relationship Id="rId739" Type="http://schemas.openxmlformats.org/officeDocument/2006/relationships/hyperlink" Target="https://docs.google.com/open?id=0B5-iztf28QNJMmlLOThVVV94eE0" TargetMode="External"/><Relationship Id="rId930" Type="http://schemas.openxmlformats.org/officeDocument/2006/relationships/hyperlink" Target="https://docs.google.com/open?id=0B5-iztf28QNJRGxfWGphZVFhUnc" TargetMode="External"/><Relationship Id="rId530" Type="http://schemas.openxmlformats.org/officeDocument/2006/relationships/hyperlink" Target="https://docs.google.com/open?id=0B5-iztf28QNJRU1pX1liU25kWGs" TargetMode="External"/><Relationship Id="rId747" Type="http://schemas.openxmlformats.org/officeDocument/2006/relationships/hyperlink" Target="https://docs.google.com/open?id=0B5-iztf28QNJTHN5d3N2eXJ0ZU0" TargetMode="External"/><Relationship Id="rId746" Type="http://schemas.openxmlformats.org/officeDocument/2006/relationships/hyperlink" Target="https://docs.google.com/open?id=0B5-iztf28QNJTHN5d3N2eXJ0ZU0" TargetMode="External"/><Relationship Id="rId532" Type="http://schemas.openxmlformats.org/officeDocument/2006/relationships/hyperlink" Target="https://docs.google.com/open?id=0B5-iztf28QNJRnEzVWttVkxnb2s" TargetMode="External"/><Relationship Id="rId749" Type="http://schemas.openxmlformats.org/officeDocument/2006/relationships/hyperlink" Target="https://docs.google.com/open?id=0B5-iztf28QNJMkhHMG5GemxTa3c" TargetMode="External"/><Relationship Id="rId531" Type="http://schemas.openxmlformats.org/officeDocument/2006/relationships/hyperlink" Target="https://docs.google.com/open?id=0B5-iztf28QNJRU1pX1liU25kWGs" TargetMode="External"/><Relationship Id="rId748" Type="http://schemas.openxmlformats.org/officeDocument/2006/relationships/hyperlink" Target="https://docs.google.com/open?id=0B5-iztf28QNJMkhHMG5GemxTa3c" TargetMode="External"/><Relationship Id="rId949" Type="http://schemas.openxmlformats.org/officeDocument/2006/relationships/hyperlink" Target="https://docs.google.com/open?id=0B5-iztf28QNJcnlPeXF4ckgwSzg" TargetMode="External"/><Relationship Id="rId743" Type="http://schemas.openxmlformats.org/officeDocument/2006/relationships/hyperlink" Target="https://docs.google.com/open?id=0B5-iztf28QNJQUJpZGpyeVc5ams" TargetMode="External"/><Relationship Id="rId948" Type="http://schemas.openxmlformats.org/officeDocument/2006/relationships/hyperlink" Target="https://docs.google.com/open?id=0B5-iztf28QNJcnlPeXF4ckgwSzg" TargetMode="External"/><Relationship Id="rId742" Type="http://schemas.openxmlformats.org/officeDocument/2006/relationships/hyperlink" Target="https://docs.google.com/open?id=0B5-iztf28QNJQUJpZGpyeVc5ams" TargetMode="External"/><Relationship Id="rId745" Type="http://schemas.openxmlformats.org/officeDocument/2006/relationships/hyperlink" Target="https://docs.google.com/open?id=0B5-iztf28QNJQ0V6UXNYQ09oRjA" TargetMode="External"/><Relationship Id="rId744" Type="http://schemas.openxmlformats.org/officeDocument/2006/relationships/hyperlink" Target="https://docs.google.com/open?id=0B5-iztf28QNJQ0V6UXNYQ09oRjA" TargetMode="External"/><Relationship Id="rId538" Type="http://schemas.openxmlformats.org/officeDocument/2006/relationships/hyperlink" Target="https://docs.google.com/open?id=0B5-iztf28QNJUXpZdldMeFVRcDQ" TargetMode="External"/><Relationship Id="rId29" Type="http://schemas.openxmlformats.org/officeDocument/2006/relationships/hyperlink" Target="https://docs.google.com/open?id=0B5-iztf28QNJanEzbml6WVJEcDQ" TargetMode="External"/><Relationship Id="rId537" Type="http://schemas.openxmlformats.org/officeDocument/2006/relationships/hyperlink" Target="https://docs.google.com/open?id=0B5-iztf28QNJbkVCa2gwT1ZYRUU" TargetMode="External"/><Relationship Id="rId161" Type="http://schemas.openxmlformats.org/officeDocument/2006/relationships/hyperlink" Target="https://docs.google.com/open?id=0B5-iztf28QNJSEtQdndUa3g3M1U" TargetMode="External"/><Relationship Id="rId741" Type="http://schemas.openxmlformats.org/officeDocument/2006/relationships/hyperlink" Target="https://docs.google.com/open?id=0B5-iztf28QNJdXFkdm0wTko3eUU" TargetMode="External"/><Relationship Id="rId160" Type="http://schemas.openxmlformats.org/officeDocument/2006/relationships/hyperlink" Target="https://docs.google.com/open?id=0B5-iztf28QNJSEtQdndUa3g3M1U" TargetMode="External"/><Relationship Id="rId539" Type="http://schemas.openxmlformats.org/officeDocument/2006/relationships/hyperlink" Target="https://docs.google.com/open?id=0B5-iztf28QNJUXpZdldMeFVRcDQ" TargetMode="External"/><Relationship Id="rId740" Type="http://schemas.openxmlformats.org/officeDocument/2006/relationships/hyperlink" Target="https://docs.google.com/open?id=0B5-iztf28QNJdXFkdm0wTko3eUU" TargetMode="External"/><Relationship Id="rId26" Type="http://schemas.openxmlformats.org/officeDocument/2006/relationships/hyperlink" Target="https://docs.google.com/open?id=0B5-iztf28QNJWEhqX2liZF8xa00" TargetMode="External"/><Relationship Id="rId534" Type="http://schemas.openxmlformats.org/officeDocument/2006/relationships/hyperlink" Target="https://docs.google.com/open?id=0B5-iztf28QNJZzNJY2lJNHZqbFU" TargetMode="External"/><Relationship Id="rId25" Type="http://schemas.openxmlformats.org/officeDocument/2006/relationships/hyperlink" Target="https://docs.google.com/open?id=0B5-iztf28QNJNm1uTWJoN2ZFZjg" TargetMode="External"/><Relationship Id="rId533" Type="http://schemas.openxmlformats.org/officeDocument/2006/relationships/hyperlink" Target="https://docs.google.com/open?id=0B5-iztf28QNJRnEzVWttVkxnb2s" TargetMode="External"/><Relationship Id="rId28" Type="http://schemas.openxmlformats.org/officeDocument/2006/relationships/hyperlink" Target="https://docs.google.com/open?id=0B5-iztf28QNJanEzbml6WVJEcDQ" TargetMode="External"/><Relationship Id="rId536" Type="http://schemas.openxmlformats.org/officeDocument/2006/relationships/hyperlink" Target="https://docs.google.com/open?id=0B5-iztf28QNJbkVCa2gwT1ZYRUU" TargetMode="External"/><Relationship Id="rId27" Type="http://schemas.openxmlformats.org/officeDocument/2006/relationships/hyperlink" Target="https://docs.google.com/open?id=0B5-iztf28QNJWEhqX2liZF8xa00" TargetMode="External"/><Relationship Id="rId535" Type="http://schemas.openxmlformats.org/officeDocument/2006/relationships/hyperlink" Target="https://docs.google.com/open?id=0B5-iztf28QNJZzNJY2lJNHZqbFU" TargetMode="External"/><Relationship Id="rId339" Type="http://schemas.openxmlformats.org/officeDocument/2006/relationships/hyperlink" Target="https://docs.google.com/open?id=0B5-iztf28QNJdkcyOFJwUjdwbzQ" TargetMode="External"/><Relationship Id="rId21" Type="http://schemas.openxmlformats.org/officeDocument/2006/relationships/hyperlink" Target="https://docs.google.com/open?id=0B5-iztf28QNJZU1ydG9wRVF2VU0" TargetMode="External"/><Relationship Id="rId155" Type="http://schemas.openxmlformats.org/officeDocument/2006/relationships/hyperlink" Target="https://docs.google.com/open?id=0B5-iztf28QNJQ251V2tVYUQ5RlU" TargetMode="External"/><Relationship Id="rId22" Type="http://schemas.openxmlformats.org/officeDocument/2006/relationships/hyperlink" Target="https://docs.google.com/open?id=0B5-iztf28QNJbTlqOHplaWp2R3M" TargetMode="External"/><Relationship Id="rId156" Type="http://schemas.openxmlformats.org/officeDocument/2006/relationships/hyperlink" Target="https://docs.google.com/open?id=0B5-iztf28QNJbUN2R1lRS1p2NGM" TargetMode="External"/><Relationship Id="rId23" Type="http://schemas.openxmlformats.org/officeDocument/2006/relationships/hyperlink" Target="https://docs.google.com/open?id=0B5-iztf28QNJbTlqOHplaWp2R3M" TargetMode="External"/><Relationship Id="rId157" Type="http://schemas.openxmlformats.org/officeDocument/2006/relationships/hyperlink" Target="https://docs.google.com/open?id=0B5-iztf28QNJbUN2R1lRS1p2NGM" TargetMode="External"/><Relationship Id="rId24" Type="http://schemas.openxmlformats.org/officeDocument/2006/relationships/hyperlink" Target="https://docs.google.com/open?id=0B5-iztf28QNJNm1uTWJoN2ZFZjg" TargetMode="External"/><Relationship Id="rId158" Type="http://schemas.openxmlformats.org/officeDocument/2006/relationships/hyperlink" Target="https://docs.google.com/open?id=0B5-iztf28QNJaUhkbVdMNHB6OE0" TargetMode="External"/><Relationship Id="rId335" Type="http://schemas.openxmlformats.org/officeDocument/2006/relationships/hyperlink" Target="https://docs.google.com/open?id=0B5-iztf28QNJNXJXQUxoN2wyZU0" TargetMode="External"/><Relationship Id="rId151" Type="http://schemas.openxmlformats.org/officeDocument/2006/relationships/hyperlink" Target="https://docs.google.com/open?id=0B5-iztf28QNJbXpVQnA1cHhKdUE" TargetMode="External"/><Relationship Id="rId336" Type="http://schemas.openxmlformats.org/officeDocument/2006/relationships/hyperlink" Target="https://docs.google.com/open?id=0B5-iztf28QNJRWhweWhOWmFUMzA" TargetMode="External"/><Relationship Id="rId152" Type="http://schemas.openxmlformats.org/officeDocument/2006/relationships/hyperlink" Target="https://docs.google.com/open?id=0B5-iztf28QNJRnE4dk04RmI0Q3M" TargetMode="External"/><Relationship Id="rId337" Type="http://schemas.openxmlformats.org/officeDocument/2006/relationships/hyperlink" Target="https://docs.google.com/open?id=0B5-iztf28QNJRWhweWhOWmFUMzA" TargetMode="External"/><Relationship Id="rId153" Type="http://schemas.openxmlformats.org/officeDocument/2006/relationships/hyperlink" Target="https://docs.google.com/open?id=0B5-iztf28QNJRnE4dk04RmI0Q3M" TargetMode="External"/><Relationship Id="rId338" Type="http://schemas.openxmlformats.org/officeDocument/2006/relationships/hyperlink" Target="https://docs.google.com/open?id=0B5-iztf28QNJdkcyOFJwUjdwbzQ" TargetMode="External"/><Relationship Id="rId20" Type="http://schemas.openxmlformats.org/officeDocument/2006/relationships/hyperlink" Target="https://docs.google.com/open?id=0B5-iztf28QNJZU1ydG9wRVF2VU0" TargetMode="External"/><Relationship Id="rId154" Type="http://schemas.openxmlformats.org/officeDocument/2006/relationships/hyperlink" Target="https://docs.google.com/open?id=0B5-iztf28QNJQ251V2tVYUQ5RlU" TargetMode="External"/><Relationship Id="rId944" Type="http://schemas.openxmlformats.org/officeDocument/2006/relationships/hyperlink" Target="https://docs.google.com/open?id=0B5-iztf28QNJblhXZFZPSDRpd1k" TargetMode="External"/><Relationship Id="rId331" Type="http://schemas.openxmlformats.org/officeDocument/2006/relationships/hyperlink" Target="https://docs.google.com/open?id=0B5-iztf28QNJT2dRRkw4akpRZ2M" TargetMode="External"/><Relationship Id="rId945" Type="http://schemas.openxmlformats.org/officeDocument/2006/relationships/hyperlink" Target="https://docs.google.com/open?id=0B5-iztf28QNJblhXZFZPSDRpd1k" TargetMode="External"/><Relationship Id="rId332" Type="http://schemas.openxmlformats.org/officeDocument/2006/relationships/hyperlink" Target="https://docs.google.com/open?id=0B5-iztf28QNJZWlQYkk5WDlUcE0" TargetMode="External"/><Relationship Id="rId946" Type="http://schemas.openxmlformats.org/officeDocument/2006/relationships/hyperlink" Target="https://docs.google.com/open?id=0B5-iztf28QNJYzhjTkNRdjlEWG8" TargetMode="External"/><Relationship Id="rId333" Type="http://schemas.openxmlformats.org/officeDocument/2006/relationships/hyperlink" Target="https://docs.google.com/open?id=0B5-iztf28QNJZWlQYkk5WDlUcE0" TargetMode="External"/><Relationship Id="rId947" Type="http://schemas.openxmlformats.org/officeDocument/2006/relationships/hyperlink" Target="https://docs.google.com/open?id=0B5-iztf28QNJYzhjTkNRdjlEWG8" TargetMode="External"/><Relationship Id="rId334" Type="http://schemas.openxmlformats.org/officeDocument/2006/relationships/hyperlink" Target="https://docs.google.com/open?id=0B5-iztf28QNJNXJXQUxoN2wyZU0" TargetMode="External"/><Relationship Id="rId940" Type="http://schemas.openxmlformats.org/officeDocument/2006/relationships/hyperlink" Target="https://docs.google.com/open?id=0B5-iztf28QNJZ1l2djUzZDVuNDA" TargetMode="External"/><Relationship Id="rId159" Type="http://schemas.openxmlformats.org/officeDocument/2006/relationships/hyperlink" Target="https://docs.google.com/open?id=0B5-iztf28QNJaUhkbVdMNHB6OE0" TargetMode="External"/><Relationship Id="rId941" Type="http://schemas.openxmlformats.org/officeDocument/2006/relationships/hyperlink" Target="https://docs.google.com/open?id=0B5-iztf28QNJZ1l2djUzZDVuNDA" TargetMode="External"/><Relationship Id="rId942" Type="http://schemas.openxmlformats.org/officeDocument/2006/relationships/hyperlink" Target="https://docs.google.com/open?id=0B5-iztf28QNJVmdpRHl0LWNmWDA" TargetMode="External"/><Relationship Id="rId943" Type="http://schemas.openxmlformats.org/officeDocument/2006/relationships/hyperlink" Target="https://docs.google.com/open?id=0B5-iztf28QNJVmdpRHl0LWNmWDA" TargetMode="External"/><Relationship Id="rId330" Type="http://schemas.openxmlformats.org/officeDocument/2006/relationships/hyperlink" Target="https://docs.google.com/open?id=0B5-iztf28QNJT2dRRkw4akpRZ2M" TargetMode="External"/><Relationship Id="rId190" Type="http://schemas.openxmlformats.org/officeDocument/2006/relationships/hyperlink" Target="https://docs.google.com/open?id=0B5-iztf28QNJSUhyYTViNWd6S1U" TargetMode="External"/><Relationship Id="rId193" Type="http://schemas.openxmlformats.org/officeDocument/2006/relationships/hyperlink" Target="https://docs.google.com/open?id=0B5-iztf28QNJMzg5YjVzR00tLVE" TargetMode="External"/><Relationship Id="rId194" Type="http://schemas.openxmlformats.org/officeDocument/2006/relationships/hyperlink" Target="https://docs.google.com/open?id=0B5-iztf28QNJUkZEa3hXSWdfTTg" TargetMode="External"/><Relationship Id="rId191" Type="http://schemas.openxmlformats.org/officeDocument/2006/relationships/hyperlink" Target="https://docs.google.com/open?id=0B5-iztf28QNJSUhyYTViNWd6S1U" TargetMode="External"/><Relationship Id="rId192" Type="http://schemas.openxmlformats.org/officeDocument/2006/relationships/hyperlink" Target="https://docs.google.com/open?id=0B5-iztf28QNJMzg5YjVzR00tLVE" TargetMode="External"/><Relationship Id="rId711" Type="http://schemas.openxmlformats.org/officeDocument/2006/relationships/hyperlink" Target="https://docs.google.com/open?id=0B5-iztf28QNJSWRYUUIxWFUtaE0" TargetMode="External"/><Relationship Id="rId712" Type="http://schemas.openxmlformats.org/officeDocument/2006/relationships/hyperlink" Target="https://docs.google.com/open?id=0B5-iztf28QNJQ2tDTVRvQ0FlR3c" TargetMode="External"/><Relationship Id="rId710" Type="http://schemas.openxmlformats.org/officeDocument/2006/relationships/hyperlink" Target="https://docs.google.com/open?id=0B5-iztf28QNJSWRYUUIxWFUtaE0" TargetMode="External"/><Relationship Id="rId715" Type="http://schemas.openxmlformats.org/officeDocument/2006/relationships/hyperlink" Target="https://docs.google.com/open?id=0B5-iztf28QNJMTYwRXhPczQ1TEU" TargetMode="External"/><Relationship Id="rId716" Type="http://schemas.openxmlformats.org/officeDocument/2006/relationships/hyperlink" Target="https://docs.google.com/open?id=0B5-iztf28QNJVnhEeUI3WjBPOGM" TargetMode="External"/><Relationship Id="rId713" Type="http://schemas.openxmlformats.org/officeDocument/2006/relationships/hyperlink" Target="https://docs.google.com/open?id=0B5-iztf28QNJQ2tDTVRvQ0FlR3c" TargetMode="External"/><Relationship Id="rId714" Type="http://schemas.openxmlformats.org/officeDocument/2006/relationships/hyperlink" Target="https://docs.google.com/open?id=0B5-iztf28QNJMTYwRXhPczQ1TEU" TargetMode="External"/><Relationship Id="rId719" Type="http://schemas.openxmlformats.org/officeDocument/2006/relationships/hyperlink" Target="https://docs.google.com/open?id=0B5-iztf28QNJRDRNakVkNzZ4Mk0" TargetMode="External"/><Relationship Id="rId718" Type="http://schemas.openxmlformats.org/officeDocument/2006/relationships/hyperlink" Target="https://docs.google.com/open?id=0B5-iztf28QNJRDRNakVkNzZ4Mk0" TargetMode="External"/><Relationship Id="rId717" Type="http://schemas.openxmlformats.org/officeDocument/2006/relationships/hyperlink" Target="https://docs.google.com/open?id=0B5-iztf28QNJVnhEeUI3WjBPOGM" TargetMode="External"/><Relationship Id="rId323" Type="http://schemas.openxmlformats.org/officeDocument/2006/relationships/hyperlink" Target="https://docs.google.com/open?id=0B5-iztf28QNJTUV1dHRIeVIwazg" TargetMode="External"/><Relationship Id="rId71" Type="http://schemas.openxmlformats.org/officeDocument/2006/relationships/hyperlink" Target="https://docs.google.com/open?id=0B5-iztf28QNJVEFvd1NWR2hGZEE" TargetMode="External"/><Relationship Id="rId322" Type="http://schemas.openxmlformats.org/officeDocument/2006/relationships/hyperlink" Target="https://docs.google.com/open?id=0B5-iztf28QNJTUV1dHRIeVIwazg" TargetMode="External"/><Relationship Id="rId70" Type="http://schemas.openxmlformats.org/officeDocument/2006/relationships/hyperlink" Target="https://docs.google.com/open?id=0B5-iztf28QNJVEFvd1NWR2hGZEE" TargetMode="External"/><Relationship Id="rId321" Type="http://schemas.openxmlformats.org/officeDocument/2006/relationships/hyperlink" Target="https://docs.google.com/open?id=0B5-iztf28QNJUTZQWWZJUjZtTHc" TargetMode="External"/><Relationship Id="rId320" Type="http://schemas.openxmlformats.org/officeDocument/2006/relationships/hyperlink" Target="https://docs.google.com/open?id=0B5-iztf28QNJUTZQWWZJUjZtTHc" TargetMode="External"/><Relationship Id="rId327" Type="http://schemas.openxmlformats.org/officeDocument/2006/relationships/hyperlink" Target="https://docs.google.com/open?id=0B5-iztf28QNJTHR6SGZrblJYTE0" TargetMode="External"/><Relationship Id="rId75" Type="http://schemas.openxmlformats.org/officeDocument/2006/relationships/hyperlink" Target="https://docs.google.com/open?id=0B5-iztf28QNJaV9TVlY4WnFIQkU" TargetMode="External"/><Relationship Id="rId187" Type="http://schemas.openxmlformats.org/officeDocument/2006/relationships/hyperlink" Target="https://docs.google.com/open?id=0B5-iztf28QNJTFZYUHRWQXc1RGM" TargetMode="External"/><Relationship Id="rId326" Type="http://schemas.openxmlformats.org/officeDocument/2006/relationships/hyperlink" Target="https://docs.google.com/open?id=0B5-iztf28QNJTHR6SGZrblJYTE0" TargetMode="External"/><Relationship Id="rId74" Type="http://schemas.openxmlformats.org/officeDocument/2006/relationships/hyperlink" Target="https://docs.google.com/open?id=0B5-iztf28QNJaV9TVlY4WnFIQkU" TargetMode="External"/><Relationship Id="rId186" Type="http://schemas.openxmlformats.org/officeDocument/2006/relationships/hyperlink" Target="https://docs.google.com/open?id=0B5-iztf28QNJTFZYUHRWQXc1RGM" TargetMode="External"/><Relationship Id="rId325" Type="http://schemas.openxmlformats.org/officeDocument/2006/relationships/hyperlink" Target="https://docs.google.com/open?id=0B5-iztf28QNJUU42czNjR3RHcnc" TargetMode="External"/><Relationship Id="rId73" Type="http://schemas.openxmlformats.org/officeDocument/2006/relationships/hyperlink" Target="https://docs.google.com/open?id=0B5-iztf28QNJLUJHOWpzR1F0dVU" TargetMode="External"/><Relationship Id="rId185" Type="http://schemas.openxmlformats.org/officeDocument/2006/relationships/hyperlink" Target="https://docs.google.com/open?id=0B5-iztf28QNJb25YOGtCcmRlWHc" TargetMode="External"/><Relationship Id="rId324" Type="http://schemas.openxmlformats.org/officeDocument/2006/relationships/hyperlink" Target="https://docs.google.com/open?id=0B5-iztf28QNJUU42czNjR3RHcnc" TargetMode="External"/><Relationship Id="rId72" Type="http://schemas.openxmlformats.org/officeDocument/2006/relationships/hyperlink" Target="https://docs.google.com/open?id=0B5-iztf28QNJLUJHOWpzR1F0dVU" TargetMode="External"/><Relationship Id="rId184" Type="http://schemas.openxmlformats.org/officeDocument/2006/relationships/hyperlink" Target="https://docs.google.com/open?id=0B5-iztf28QNJb25YOGtCcmRlWHc" TargetMode="External"/><Relationship Id="rId79" Type="http://schemas.openxmlformats.org/officeDocument/2006/relationships/hyperlink" Target="https://docs.google.com/open?id=0B5-iztf28QNJR1N0c0ZzdHhIVVE" TargetMode="External"/><Relationship Id="rId78" Type="http://schemas.openxmlformats.org/officeDocument/2006/relationships/hyperlink" Target="https://docs.google.com/open?id=0B5-iztf28QNJR1N0c0ZzdHhIVVE" TargetMode="External"/><Relationship Id="rId329" Type="http://schemas.openxmlformats.org/officeDocument/2006/relationships/hyperlink" Target="https://docs.google.com/open?id=0B5-iztf28QNJX0dLb1dUWW82NGM" TargetMode="External"/><Relationship Id="rId77" Type="http://schemas.openxmlformats.org/officeDocument/2006/relationships/hyperlink" Target="https://docs.google.com/open?id=0B5-iztf28QNJdVU2Mm9fbjFYM00" TargetMode="External"/><Relationship Id="rId189" Type="http://schemas.openxmlformats.org/officeDocument/2006/relationships/hyperlink" Target="https://docs.google.com/open?id=0B5-iztf28QNJRElfZlBWZDh5MXM" TargetMode="External"/><Relationship Id="rId328" Type="http://schemas.openxmlformats.org/officeDocument/2006/relationships/hyperlink" Target="https://docs.google.com/open?id=0B5-iztf28QNJX0dLb1dUWW82NGM" TargetMode="External"/><Relationship Id="rId76" Type="http://schemas.openxmlformats.org/officeDocument/2006/relationships/hyperlink" Target="https://docs.google.com/open?id=0B5-iztf28QNJdVU2Mm9fbjFYM00" TargetMode="External"/><Relationship Id="rId188" Type="http://schemas.openxmlformats.org/officeDocument/2006/relationships/hyperlink" Target="https://docs.google.com/open?id=0B5-iztf28QNJRElfZlBWZDh5MXM" TargetMode="External"/><Relationship Id="rId599" Type="http://schemas.openxmlformats.org/officeDocument/2006/relationships/hyperlink" Target="https://docs.google.com/open?id=0B5-iztf28QNJTEtTOEFPc3lsRzQ" TargetMode="External"/><Relationship Id="rId180" Type="http://schemas.openxmlformats.org/officeDocument/2006/relationships/hyperlink" Target="https://docs.google.com/open?id=0B5-iztf28QNJakRpb0taakpUdUU" TargetMode="External"/><Relationship Id="rId181" Type="http://schemas.openxmlformats.org/officeDocument/2006/relationships/hyperlink" Target="https://docs.google.com/open?id=0B5-iztf28QNJakRpb0taakpUdUU" TargetMode="External"/><Relationship Id="rId182" Type="http://schemas.openxmlformats.org/officeDocument/2006/relationships/hyperlink" Target="https://docs.google.com/open?id=0B5-iztf28QNJeWF3a1RYNzFzREE" TargetMode="External"/><Relationship Id="rId183" Type="http://schemas.openxmlformats.org/officeDocument/2006/relationships/hyperlink" Target="https://docs.google.com/open?id=0B5-iztf28QNJeWF3a1RYNzFzREE" TargetMode="External"/><Relationship Id="rId591" Type="http://schemas.openxmlformats.org/officeDocument/2006/relationships/hyperlink" Target="https://docs.google.com/open?id=0B5-iztf28QNJVW51RFg3ejZlTFU" TargetMode="External"/><Relationship Id="rId720" Type="http://schemas.openxmlformats.org/officeDocument/2006/relationships/hyperlink" Target="https://docs.google.com/open?id=0B5-iztf28QNJVFU0cjk0emp3T1E" TargetMode="External"/><Relationship Id="rId592" Type="http://schemas.openxmlformats.org/officeDocument/2006/relationships/hyperlink" Target="https://docs.google.com/open?id=0B5-iztf28QNJV3BmS1BtaU5aM1U" TargetMode="External"/><Relationship Id="rId721" Type="http://schemas.openxmlformats.org/officeDocument/2006/relationships/hyperlink" Target="https://docs.google.com/open?id=0B5-iztf28QNJVFU0cjk0emp3T1E" TargetMode="External"/><Relationship Id="rId593" Type="http://schemas.openxmlformats.org/officeDocument/2006/relationships/hyperlink" Target="https://docs.google.com/open?id=0B5-iztf28QNJV3BmS1BtaU5aM1U" TargetMode="External"/><Relationship Id="rId722" Type="http://schemas.openxmlformats.org/officeDocument/2006/relationships/hyperlink" Target="https://docs.google.com/open?id=0B5-iztf28QNJWGJOQlplbjRoRlU" TargetMode="External"/><Relationship Id="rId594" Type="http://schemas.openxmlformats.org/officeDocument/2006/relationships/hyperlink" Target="https://docs.google.com/open?id=0B5-iztf28QNJT3QwU1R0SXJWQmM" TargetMode="External"/><Relationship Id="rId723" Type="http://schemas.openxmlformats.org/officeDocument/2006/relationships/hyperlink" Target="https://docs.google.com/open?id=0B5-iztf28QNJWGJOQlplbjRoRlU" TargetMode="External"/><Relationship Id="rId595" Type="http://schemas.openxmlformats.org/officeDocument/2006/relationships/hyperlink" Target="https://docs.google.com/open?id=0B5-iztf28QNJT3QwU1R0SXJWQmM" TargetMode="External"/><Relationship Id="rId724" Type="http://schemas.openxmlformats.org/officeDocument/2006/relationships/hyperlink" Target="https://docs.google.com/open?id=0B5-iztf28QNJV1VBODBCODlWZjA" TargetMode="External"/><Relationship Id="rId596" Type="http://schemas.openxmlformats.org/officeDocument/2006/relationships/hyperlink" Target="https://docs.google.com/open?id=0B5-iztf28QNJb2NoRTBkSVBmN3M" TargetMode="External"/><Relationship Id="rId725" Type="http://schemas.openxmlformats.org/officeDocument/2006/relationships/hyperlink" Target="https://docs.google.com/open?id=0B5-iztf28QNJV1VBODBCODlWZjA" TargetMode="External"/><Relationship Id="rId597" Type="http://schemas.openxmlformats.org/officeDocument/2006/relationships/hyperlink" Target="https://docs.google.com/open?id=0B5-iztf28QNJb2NoRTBkSVBmN3M" TargetMode="External"/><Relationship Id="rId726" Type="http://schemas.openxmlformats.org/officeDocument/2006/relationships/hyperlink" Target="https://docs.google.com/open?id=0B5-iztf28QNJdUZSNEF3eXVNaGM" TargetMode="External"/><Relationship Id="rId598" Type="http://schemas.openxmlformats.org/officeDocument/2006/relationships/hyperlink" Target="https://docs.google.com/open?id=0B5-iztf28QNJTEtTOEFPc3lsRzQ" TargetMode="External"/><Relationship Id="rId727" Type="http://schemas.openxmlformats.org/officeDocument/2006/relationships/hyperlink" Target="https://docs.google.com/open?id=0B5-iztf28QNJdUZSNEF3eXVNaGM" TargetMode="External"/><Relationship Id="rId729" Type="http://schemas.openxmlformats.org/officeDocument/2006/relationships/hyperlink" Target="https://docs.google.com/open?id=0B5-iztf28QNJdkFNbUVIOXlSOVE" TargetMode="External"/><Relationship Id="rId728" Type="http://schemas.openxmlformats.org/officeDocument/2006/relationships/hyperlink" Target="https://docs.google.com/open?id=0B5-iztf28QNJdkFNbUVIOXlSOVE" TargetMode="External"/><Relationship Id="rId310" Type="http://schemas.openxmlformats.org/officeDocument/2006/relationships/hyperlink" Target="https://docs.google.com/open?id=0B5-iztf28QNJbkRHanl2UW1XMjA" TargetMode="External"/><Relationship Id="rId80" Type="http://schemas.openxmlformats.org/officeDocument/2006/relationships/hyperlink" Target="https://docs.google.com/open?id=0B5-iztf28QNJMHFMX2JrOFJNNlE" TargetMode="External"/><Relationship Id="rId312" Type="http://schemas.openxmlformats.org/officeDocument/2006/relationships/hyperlink" Target="https://docs.google.com/open?id=0B5-iztf28QNJSnBVN1lZUWhVcTg" TargetMode="External"/><Relationship Id="rId82" Type="http://schemas.openxmlformats.org/officeDocument/2006/relationships/hyperlink" Target="https://docs.google.com/open?id=0B5-iztf28QNJQ01nWnlNR3hwdTQ" TargetMode="External"/><Relationship Id="rId311" Type="http://schemas.openxmlformats.org/officeDocument/2006/relationships/hyperlink" Target="https://docs.google.com/open?id=0B5-iztf28QNJbkRHanl2UW1XMjA" TargetMode="External"/><Relationship Id="rId81" Type="http://schemas.openxmlformats.org/officeDocument/2006/relationships/hyperlink" Target="https://docs.google.com/open?id=0B5-iztf28QNJMHFMX2JrOFJNNlE" TargetMode="External"/><Relationship Id="rId314" Type="http://schemas.openxmlformats.org/officeDocument/2006/relationships/hyperlink" Target="https://docs.google.com/open?id=0B5-iztf28QNJQmRjLTZNZ01Kbkk" TargetMode="External"/><Relationship Id="rId84" Type="http://schemas.openxmlformats.org/officeDocument/2006/relationships/hyperlink" Target="https://docs.google.com/open?id=0B5-iztf28QNJbTlodXRSLXdPVmc" TargetMode="External"/><Relationship Id="rId174" Type="http://schemas.openxmlformats.org/officeDocument/2006/relationships/hyperlink" Target="https://docs.google.com/open?id=0B5-iztf28QNJMlVDMi1LaTA5OGM" TargetMode="External"/><Relationship Id="rId313" Type="http://schemas.openxmlformats.org/officeDocument/2006/relationships/hyperlink" Target="https://docs.google.com/open?id=0B5-iztf28QNJSnBVN1lZUWhVcTg" TargetMode="External"/><Relationship Id="rId83" Type="http://schemas.openxmlformats.org/officeDocument/2006/relationships/hyperlink" Target="https://docs.google.com/open?id=0B5-iztf28QNJQ01nWnlNR3hwdTQ" TargetMode="External"/><Relationship Id="rId173" Type="http://schemas.openxmlformats.org/officeDocument/2006/relationships/hyperlink" Target="https://docs.google.com/open?id=0B5-iztf28QNJM2pKc0xhMHZlSEU" TargetMode="External"/><Relationship Id="rId316" Type="http://schemas.openxmlformats.org/officeDocument/2006/relationships/hyperlink" Target="https://docs.google.com/open?id=0B5-iztf28QNJZENDMUhEdU96U3M" TargetMode="External"/><Relationship Id="rId86" Type="http://schemas.openxmlformats.org/officeDocument/2006/relationships/hyperlink" Target="https://docs.google.com/open?id=0B5-iztf28QNJQ3hEU1pZYnZFOEU" TargetMode="External"/><Relationship Id="rId176" Type="http://schemas.openxmlformats.org/officeDocument/2006/relationships/hyperlink" Target="https://docs.google.com/open?id=0B5-iztf28QNJa1g0dHJ6YlBfSXM" TargetMode="External"/><Relationship Id="rId315" Type="http://schemas.openxmlformats.org/officeDocument/2006/relationships/hyperlink" Target="https://docs.google.com/open?id=0B5-iztf28QNJQmRjLTZNZ01Kbkk" TargetMode="External"/><Relationship Id="rId85" Type="http://schemas.openxmlformats.org/officeDocument/2006/relationships/hyperlink" Target="https://docs.google.com/open?id=0B5-iztf28QNJbTlodXRSLXdPVmc" TargetMode="External"/><Relationship Id="rId175" Type="http://schemas.openxmlformats.org/officeDocument/2006/relationships/hyperlink" Target="https://docs.google.com/open?id=0B5-iztf28QNJMlVDMi1LaTA5OGM" TargetMode="External"/><Relationship Id="rId318" Type="http://schemas.openxmlformats.org/officeDocument/2006/relationships/hyperlink" Target="https://docs.google.com/open?id=0B5-iztf28QNJbHdvUHdWNXVlblE" TargetMode="External"/><Relationship Id="rId88" Type="http://schemas.openxmlformats.org/officeDocument/2006/relationships/hyperlink" Target="https://docs.google.com/open?id=0B5-iztf28QNJY1pWakZYcUIwcnc" TargetMode="External"/><Relationship Id="rId178" Type="http://schemas.openxmlformats.org/officeDocument/2006/relationships/hyperlink" Target="https://docs.google.com/open?id=0B5-iztf28QNJOVRWMHFPSDVCLTA" TargetMode="External"/><Relationship Id="rId317" Type="http://schemas.openxmlformats.org/officeDocument/2006/relationships/hyperlink" Target="https://docs.google.com/open?id=0B5-iztf28QNJZENDMUhEdU96U3M" TargetMode="External"/><Relationship Id="rId87" Type="http://schemas.openxmlformats.org/officeDocument/2006/relationships/hyperlink" Target="https://docs.google.com/open?id=0B5-iztf28QNJQ3hEU1pZYnZFOEU" TargetMode="External"/><Relationship Id="rId177" Type="http://schemas.openxmlformats.org/officeDocument/2006/relationships/hyperlink" Target="https://docs.google.com/open?id=0B5-iztf28QNJa1g0dHJ6YlBfSXM" TargetMode="External"/><Relationship Id="rId319" Type="http://schemas.openxmlformats.org/officeDocument/2006/relationships/hyperlink" Target="https://docs.google.com/open?id=0B5-iztf28QNJbHdvUHdWNXVlblE" TargetMode="External"/><Relationship Id="rId89" Type="http://schemas.openxmlformats.org/officeDocument/2006/relationships/hyperlink" Target="https://docs.google.com/open?id=0B5-iztf28QNJY1pWakZYcUIwcnc" TargetMode="External"/><Relationship Id="rId179" Type="http://schemas.openxmlformats.org/officeDocument/2006/relationships/hyperlink" Target="https://docs.google.com/open?id=0B5-iztf28QNJOVRWMHFPSDVCLTA" TargetMode="External"/><Relationship Id="rId58" Type="http://schemas.openxmlformats.org/officeDocument/2006/relationships/hyperlink" Target="https://docs.google.com/open?id=0B5-iztf28QNJeExnMHVrS21EQUU" TargetMode="External"/><Relationship Id="rId588" Type="http://schemas.openxmlformats.org/officeDocument/2006/relationships/hyperlink" Target="https://docs.google.com/open?id=0B5-iztf28QNJb0xRWUdibHdWcjA" TargetMode="External"/><Relationship Id="rId59" Type="http://schemas.openxmlformats.org/officeDocument/2006/relationships/hyperlink" Target="https://docs.google.com/open?id=0B5-iztf28QNJeExnMHVrS21EQUU" TargetMode="External"/><Relationship Id="rId589" Type="http://schemas.openxmlformats.org/officeDocument/2006/relationships/hyperlink" Target="https://docs.google.com/open?id=0B5-iztf28QNJb0xRWUdibHdWcjA" TargetMode="External"/><Relationship Id="rId586" Type="http://schemas.openxmlformats.org/officeDocument/2006/relationships/hyperlink" Target="https://docs.google.com/open?id=0B5-iztf28QNJU2xLWThqY2xnLTA" TargetMode="External"/><Relationship Id="rId587" Type="http://schemas.openxmlformats.org/officeDocument/2006/relationships/hyperlink" Target="https://docs.google.com/open?id=0B5-iztf28QNJU2xLWThqY2xnLTA" TargetMode="External"/><Relationship Id="rId584" Type="http://schemas.openxmlformats.org/officeDocument/2006/relationships/hyperlink" Target="https://docs.google.com/open?id=0B5-iztf28QNJZkxETm1USGVsMVE" TargetMode="External"/><Relationship Id="rId585" Type="http://schemas.openxmlformats.org/officeDocument/2006/relationships/hyperlink" Target="https://docs.google.com/open?id=0B5-iztf28QNJZkxETm1USGVsMVE" TargetMode="External"/><Relationship Id="rId582" Type="http://schemas.openxmlformats.org/officeDocument/2006/relationships/hyperlink" Target="https://docs.google.com/open?id=0B5-iztf28QNJOHo0Y01Hc1NpUG8" TargetMode="External"/><Relationship Id="rId583" Type="http://schemas.openxmlformats.org/officeDocument/2006/relationships/hyperlink" Target="https://docs.google.com/open?id=0B5-iztf28QNJOHo0Y01Hc1NpUG8" TargetMode="External"/><Relationship Id="rId580" Type="http://schemas.openxmlformats.org/officeDocument/2006/relationships/hyperlink" Target="https://docs.google.com/open?id=0B5-iztf28QNJUnpDdjV0NFpWYjA" TargetMode="External"/><Relationship Id="rId581" Type="http://schemas.openxmlformats.org/officeDocument/2006/relationships/hyperlink" Target="https://docs.google.com/open?id=0B5-iztf28QNJUnpDdjV0NFpWYjA" TargetMode="External"/><Relationship Id="rId301" Type="http://schemas.openxmlformats.org/officeDocument/2006/relationships/hyperlink" Target="https://docs.google.com/open?id=0B5-iztf28QNJbHlLN3VzSEFaajg" TargetMode="External"/><Relationship Id="rId590" Type="http://schemas.openxmlformats.org/officeDocument/2006/relationships/hyperlink" Target="https://docs.google.com/open?id=0B5-iztf28QNJVW51RFg3ejZlTFU" TargetMode="External"/><Relationship Id="rId300" Type="http://schemas.openxmlformats.org/officeDocument/2006/relationships/hyperlink" Target="https://docs.google.com/open?id=0B5-iztf28QNJbHlLN3VzSEFaajg" TargetMode="External"/><Relationship Id="rId309" Type="http://schemas.openxmlformats.org/officeDocument/2006/relationships/hyperlink" Target="https://docs.google.com/open?id=0B5-iztf28QNJOHJ0QmwyYjVzaG8" TargetMode="External"/><Relationship Id="rId57" Type="http://schemas.openxmlformats.org/officeDocument/2006/relationships/hyperlink" Target="https://docs.google.com/open?id=0B5-iztf28QNJbll2OFpxbXJsMTg" TargetMode="External"/><Relationship Id="rId308" Type="http://schemas.openxmlformats.org/officeDocument/2006/relationships/hyperlink" Target="https://docs.google.com/open?id=0B5-iztf28QNJOHJ0QmwyYjVzaG8" TargetMode="External"/><Relationship Id="rId56" Type="http://schemas.openxmlformats.org/officeDocument/2006/relationships/hyperlink" Target="https://docs.google.com/open?id=0B5-iztf28QNJbll2OFpxbXJsMTg" TargetMode="External"/><Relationship Id="rId307" Type="http://schemas.openxmlformats.org/officeDocument/2006/relationships/hyperlink" Target="https://docs.google.com/open?id=0B5-iztf28QNJbTdyeWc3b2ZYNjA" TargetMode="External"/><Relationship Id="rId55" Type="http://schemas.openxmlformats.org/officeDocument/2006/relationships/hyperlink" Target="https://docs.google.com/open?id=0B5-iztf28QNJTmVDeVhjUzMtQ3M" TargetMode="External"/><Relationship Id="rId306" Type="http://schemas.openxmlformats.org/officeDocument/2006/relationships/hyperlink" Target="https://docs.google.com/open?id=0B5-iztf28QNJbTdyeWc3b2ZYNjA" TargetMode="External"/><Relationship Id="rId54" Type="http://schemas.openxmlformats.org/officeDocument/2006/relationships/hyperlink" Target="https://docs.google.com/open?id=0B5-iztf28QNJTmVDeVhjUzMtQ3M" TargetMode="External"/><Relationship Id="rId305" Type="http://schemas.openxmlformats.org/officeDocument/2006/relationships/hyperlink" Target="https://docs.google.com/open?id=0B5-iztf28QNJVUhpZVRzdUFsdEU" TargetMode="External"/><Relationship Id="rId53" Type="http://schemas.openxmlformats.org/officeDocument/2006/relationships/hyperlink" Target="https://docs.google.com/open?id=0B5-iztf28QNJWk9sU0dvX2JWX00" TargetMode="External"/><Relationship Id="rId304" Type="http://schemas.openxmlformats.org/officeDocument/2006/relationships/hyperlink" Target="https://docs.google.com/open?id=0B5-iztf28QNJVUhpZVRzdUFsdEU" TargetMode="External"/><Relationship Id="rId52" Type="http://schemas.openxmlformats.org/officeDocument/2006/relationships/hyperlink" Target="https://docs.google.com/open?id=0B5-iztf28QNJWk9sU0dvX2JWX00" TargetMode="External"/><Relationship Id="rId303" Type="http://schemas.openxmlformats.org/officeDocument/2006/relationships/hyperlink" Target="https://docs.google.com/open?id=0B5-iztf28QNJR3ZvVUlGNUpTN2M" TargetMode="External"/><Relationship Id="rId51" Type="http://schemas.openxmlformats.org/officeDocument/2006/relationships/hyperlink" Target="https://docs.google.com/open?id=0B5-iztf28QNJSGM1U0tSdlRwYTg" TargetMode="External"/><Relationship Id="rId302" Type="http://schemas.openxmlformats.org/officeDocument/2006/relationships/hyperlink" Target="https://docs.google.com/open?id=0B5-iztf28QNJR3ZvVUlGNUpTN2M" TargetMode="External"/><Relationship Id="rId50" Type="http://schemas.openxmlformats.org/officeDocument/2006/relationships/hyperlink" Target="https://docs.google.com/open?id=0B5-iztf28QNJSGM1U0tSdlRwYTg" TargetMode="External"/><Relationship Id="rId69" Type="http://schemas.openxmlformats.org/officeDocument/2006/relationships/hyperlink" Target="https://docs.google.com/open?id=0B5-iztf28QNJMk9kLWtHRFdWdnc" TargetMode="External"/><Relationship Id="rId577" Type="http://schemas.openxmlformats.org/officeDocument/2006/relationships/hyperlink" Target="https://docs.google.com/open?id=0B5-iztf28QNJd0Z3RTVaODBiQjA" TargetMode="External"/><Relationship Id="rId578" Type="http://schemas.openxmlformats.org/officeDocument/2006/relationships/hyperlink" Target="https://docs.google.com/open?id=0B5-iztf28QNJSzBwR1hwNzhXbGM" TargetMode="External"/><Relationship Id="rId579" Type="http://schemas.openxmlformats.org/officeDocument/2006/relationships/hyperlink" Target="https://docs.google.com/open?id=0B5-iztf28QNJSzBwR1hwNzhXbGM" TargetMode="External"/><Relationship Id="rId573" Type="http://schemas.openxmlformats.org/officeDocument/2006/relationships/hyperlink" Target="https://docs.google.com/open?id=0B5-iztf28QNJNWw1Sk9PSFUyNWM" TargetMode="External"/><Relationship Id="rId702" Type="http://schemas.openxmlformats.org/officeDocument/2006/relationships/hyperlink" Target="https://docs.google.com/open?id=0B5-iztf28QNJSDZSbUJNakN6YUU" TargetMode="External"/><Relationship Id="rId574" Type="http://schemas.openxmlformats.org/officeDocument/2006/relationships/hyperlink" Target="https://docs.google.com/open?id=0B5-iztf28QNJeXEtMU9zZmpESGs" TargetMode="External"/><Relationship Id="rId703" Type="http://schemas.openxmlformats.org/officeDocument/2006/relationships/hyperlink" Target="https://docs.google.com/open?id=0B5-iztf28QNJSDZSbUJNakN6YUU" TargetMode="External"/><Relationship Id="rId575" Type="http://schemas.openxmlformats.org/officeDocument/2006/relationships/hyperlink" Target="https://docs.google.com/open?id=0B5-iztf28QNJeXEtMU9zZmpESGs" TargetMode="External"/><Relationship Id="rId704" Type="http://schemas.openxmlformats.org/officeDocument/2006/relationships/hyperlink" Target="https://docs.google.com/open?id=0B5-iztf28QNJczhZN1c2bXJLbVE" TargetMode="External"/><Relationship Id="rId576" Type="http://schemas.openxmlformats.org/officeDocument/2006/relationships/hyperlink" Target="https://docs.google.com/open?id=0B5-iztf28QNJd0Z3RTVaODBiQjA" TargetMode="External"/><Relationship Id="rId705" Type="http://schemas.openxmlformats.org/officeDocument/2006/relationships/hyperlink" Target="https://docs.google.com/open?id=0B5-iztf28QNJczhZN1c2bXJLbVE" TargetMode="External"/><Relationship Id="rId570" Type="http://schemas.openxmlformats.org/officeDocument/2006/relationships/hyperlink" Target="https://docs.google.com/open?id=0B5-iztf28QNJYUtHYjZDWFJ5c0U" TargetMode="External"/><Relationship Id="rId571" Type="http://schemas.openxmlformats.org/officeDocument/2006/relationships/hyperlink" Target="https://docs.google.com/open?id=0B5-iztf28QNJYUtHYjZDWFJ5c0U" TargetMode="External"/><Relationship Id="rId700" Type="http://schemas.openxmlformats.org/officeDocument/2006/relationships/hyperlink" Target="https://docs.google.com/open?id=0B5-iztf28QNJZHgzZGVqczZHMWs" TargetMode="External"/><Relationship Id="rId572" Type="http://schemas.openxmlformats.org/officeDocument/2006/relationships/hyperlink" Target="https://docs.google.com/open?id=0B5-iztf28QNJNWw1Sk9PSFUyNWM" TargetMode="External"/><Relationship Id="rId701" Type="http://schemas.openxmlformats.org/officeDocument/2006/relationships/hyperlink" Target="https://docs.google.com/open?id=0B5-iztf28QNJZHgzZGVqczZHMWs" TargetMode="External"/><Relationship Id="rId60" Type="http://schemas.openxmlformats.org/officeDocument/2006/relationships/hyperlink" Target="https://docs.google.com/open?id=0B5-iztf28QNJcy1NTkc2N3F3YkE" TargetMode="External"/><Relationship Id="rId707" Type="http://schemas.openxmlformats.org/officeDocument/2006/relationships/hyperlink" Target="https://docs.google.com/open?id=0B5-iztf28QNJQkRaakdCQ0h0V28" TargetMode="External"/><Relationship Id="rId706" Type="http://schemas.openxmlformats.org/officeDocument/2006/relationships/hyperlink" Target="https://docs.google.com/open?id=0B5-iztf28QNJQkRaakdCQ0h0V28" TargetMode="External"/><Relationship Id="rId709" Type="http://schemas.openxmlformats.org/officeDocument/2006/relationships/hyperlink" Target="https://docs.google.com/open?id=0B5-iztf28QNJbi1JYVV0MFpiUG8" TargetMode="External"/><Relationship Id="rId708" Type="http://schemas.openxmlformats.org/officeDocument/2006/relationships/hyperlink" Target="https://docs.google.com/open?id=0B5-iztf28QNJbi1JYVV0MFpiUG8" TargetMode="External"/><Relationship Id="rId66" Type="http://schemas.openxmlformats.org/officeDocument/2006/relationships/hyperlink" Target="https://docs.google.com/open?id=0B5-iztf28QNJQ0Y2aE84Q2FCR3M" TargetMode="External"/><Relationship Id="rId199" Type="http://schemas.openxmlformats.org/officeDocument/2006/relationships/hyperlink" Target="https://docs.google.com/open?id=0B5-iztf28QNJWlR2N01nSVJJVFE" TargetMode="External"/><Relationship Id="rId65" Type="http://schemas.openxmlformats.org/officeDocument/2006/relationships/hyperlink" Target="https://docs.google.com/open?id=0B5-iztf28QNJalhXYzdhd2xmRXM" TargetMode="External"/><Relationship Id="rId68" Type="http://schemas.openxmlformats.org/officeDocument/2006/relationships/hyperlink" Target="https://docs.google.com/open?id=0B5-iztf28QNJMk9kLWtHRFdWdnc" TargetMode="External"/><Relationship Id="rId67" Type="http://schemas.openxmlformats.org/officeDocument/2006/relationships/hyperlink" Target="https://docs.google.com/open?id=0B5-iztf28QNJQ0Y2aE84Q2FCR3M" TargetMode="External"/><Relationship Id="rId196" Type="http://schemas.openxmlformats.org/officeDocument/2006/relationships/hyperlink" Target="https://docs.google.com/open?id=0B5-iztf28QNJeDRWODAxeGFJTDA" TargetMode="External"/><Relationship Id="rId62" Type="http://schemas.openxmlformats.org/officeDocument/2006/relationships/hyperlink" Target="https://docs.google.com/open?id=0B5-iztf28QNJa2pfaFhUVG1VWlk" TargetMode="External"/><Relationship Id="rId195" Type="http://schemas.openxmlformats.org/officeDocument/2006/relationships/hyperlink" Target="https://docs.google.com/open?id=0B5-iztf28QNJUkZEa3hXSWdfTTg" TargetMode="External"/><Relationship Id="rId61" Type="http://schemas.openxmlformats.org/officeDocument/2006/relationships/hyperlink" Target="https://docs.google.com/open?id=0B5-iztf28QNJcy1NTkc2N3F3YkE" TargetMode="External"/><Relationship Id="rId198" Type="http://schemas.openxmlformats.org/officeDocument/2006/relationships/hyperlink" Target="https://docs.google.com/open?id=0B5-iztf28QNJWlR2N01nSVJJVFE" TargetMode="External"/><Relationship Id="rId64" Type="http://schemas.openxmlformats.org/officeDocument/2006/relationships/hyperlink" Target="https://docs.google.com/open?id=0B5-iztf28QNJalhXYzdhd2xmRXM" TargetMode="External"/><Relationship Id="rId197" Type="http://schemas.openxmlformats.org/officeDocument/2006/relationships/hyperlink" Target="https://docs.google.com/open?id=0B5-iztf28QNJeDRWODAxeGFJTDA" TargetMode="External"/><Relationship Id="rId63" Type="http://schemas.openxmlformats.org/officeDocument/2006/relationships/hyperlink" Target="https://docs.google.com/open?id=0B5-iztf28QNJa2pfaFhUVG1VWlk" TargetMode="External"/><Relationship Id="rId2" Type="http://schemas.openxmlformats.org/officeDocument/2006/relationships/hyperlink" Target="https://docs.google.com/open?id=0B5-iztf28QNJdDBUaGNvcF9Lb1k" TargetMode="External"/><Relationship Id="rId1" Type="http://schemas.openxmlformats.org/officeDocument/2006/relationships/comments" Target="../comments1.xml"/><Relationship Id="rId4" Type="http://schemas.openxmlformats.org/officeDocument/2006/relationships/hyperlink" Target="https://docs.google.com/open?id=0B5-iztf28QNJVjZpQ1NxUjVoQkE" TargetMode="External"/><Relationship Id="rId3" Type="http://schemas.openxmlformats.org/officeDocument/2006/relationships/hyperlink" Target="https://docs.google.com/open?id=0B5-iztf28QNJdDBUaGNvcF9Lb1k" TargetMode="External"/><Relationship Id="rId9" Type="http://schemas.openxmlformats.org/officeDocument/2006/relationships/hyperlink" Target="https://docs.google.com/open?id=0B5-iztf28QNJTUh3dlhXT3dIaXc" TargetMode="External"/><Relationship Id="rId6" Type="http://schemas.openxmlformats.org/officeDocument/2006/relationships/hyperlink" Target="https://docs.google.com/open?id=0B5-iztf28QNJdXRMUGJJaDVVQjQ" TargetMode="External"/><Relationship Id="rId5" Type="http://schemas.openxmlformats.org/officeDocument/2006/relationships/hyperlink" Target="https://docs.google.com/open?id=0B5-iztf28QNJVjZpQ1NxUjVoQkE" TargetMode="External"/><Relationship Id="rId8" Type="http://schemas.openxmlformats.org/officeDocument/2006/relationships/hyperlink" Target="https://docs.google.com/open?id=0B5-iztf28QNJTUh3dlhXT3dIaXc" TargetMode="External"/><Relationship Id="rId7" Type="http://schemas.openxmlformats.org/officeDocument/2006/relationships/hyperlink" Target="https://docs.google.com/open?id=0B5-iztf28QNJdXRMUGJJaDVVQjQ" TargetMode="External"/><Relationship Id="rId98" Type="http://schemas.openxmlformats.org/officeDocument/2006/relationships/hyperlink" Target="https://docs.google.com/open?id=0B5-iztf28QNJcU1hbTJZOXdiTlU" TargetMode="External"/><Relationship Id="rId99" Type="http://schemas.openxmlformats.org/officeDocument/2006/relationships/hyperlink" Target="https://docs.google.com/open?id=0B5-iztf28QNJcU1hbTJZOXdiTlU" TargetMode="External"/><Relationship Id="rId94" Type="http://schemas.openxmlformats.org/officeDocument/2006/relationships/hyperlink" Target="https://docs.google.com/open?id=0B5-iztf28QNJZGhqODBTb2x0NUk" TargetMode="External"/><Relationship Id="rId95" Type="http://schemas.openxmlformats.org/officeDocument/2006/relationships/hyperlink" Target="https://docs.google.com/open?id=0B5-iztf28QNJZGhqODBTb2x0NUk" TargetMode="External"/><Relationship Id="rId96" Type="http://schemas.openxmlformats.org/officeDocument/2006/relationships/hyperlink" Target="https://docs.google.com/open?id=0B5-iztf28QNJTUtFSnA0ejM1ek0" TargetMode="External"/><Relationship Id="rId97" Type="http://schemas.openxmlformats.org/officeDocument/2006/relationships/hyperlink" Target="https://docs.google.com/open?id=0B5-iztf28QNJTUtFSnA0ejM1ek0" TargetMode="External"/><Relationship Id="rId90" Type="http://schemas.openxmlformats.org/officeDocument/2006/relationships/hyperlink" Target="https://docs.google.com/open?id=0B5-iztf28QNJODZRQlF1Z3lvZUU" TargetMode="External"/><Relationship Id="rId91" Type="http://schemas.openxmlformats.org/officeDocument/2006/relationships/hyperlink" Target="https://docs.google.com/open?id=0B5-iztf28QNJODZRQlF1Z3lvZUU" TargetMode="External"/><Relationship Id="rId92" Type="http://schemas.openxmlformats.org/officeDocument/2006/relationships/hyperlink" Target="https://docs.google.com/open?id=0B5-iztf28QNJb2dIdGFSZ2xwOXM" TargetMode="External"/><Relationship Id="rId93" Type="http://schemas.openxmlformats.org/officeDocument/2006/relationships/hyperlink" Target="https://docs.google.com/open?id=0B5-iztf28QNJb2dIdGFSZ2xwOXM" TargetMode="External"/><Relationship Id="rId522" Type="http://schemas.openxmlformats.org/officeDocument/2006/relationships/hyperlink" Target="https://docs.google.com/open?id=0B5-iztf28QNJenE4VFdTVVZtMm8" TargetMode="External"/><Relationship Id="rId790" Type="http://schemas.openxmlformats.org/officeDocument/2006/relationships/hyperlink" Target="https://docs.google.com/open?id=0B5-iztf28QNJeFhPYk9WRFFVX2c" TargetMode="External"/><Relationship Id="rId523" Type="http://schemas.openxmlformats.org/officeDocument/2006/relationships/hyperlink" Target="https://docs.google.com/open?id=0B5-iztf28QNJenE4VFdTVVZtMm8" TargetMode="External"/><Relationship Id="rId791" Type="http://schemas.openxmlformats.org/officeDocument/2006/relationships/hyperlink" Target="https://docs.google.com/open?id=0B5-iztf28QNJeFhPYk9WRFFVX2c" TargetMode="External"/><Relationship Id="rId524" Type="http://schemas.openxmlformats.org/officeDocument/2006/relationships/hyperlink" Target="https://docs.google.com/open?id=0B5-iztf28QNJZzhIbW83WVFJWWs" TargetMode="External"/><Relationship Id="rId792" Type="http://schemas.openxmlformats.org/officeDocument/2006/relationships/hyperlink" Target="https://docs.google.com/open?id=0B5-iztf28QNJbFhFSGl1SHdXbTQ" TargetMode="External"/><Relationship Id="rId525" Type="http://schemas.openxmlformats.org/officeDocument/2006/relationships/hyperlink" Target="https://docs.google.com/open?id=0B5-iztf28QNJZzhIbW83WVFJWWs" TargetMode="External"/><Relationship Id="rId793" Type="http://schemas.openxmlformats.org/officeDocument/2006/relationships/hyperlink" Target="https://docs.google.com/open?id=0B5-iztf28QNJbFhFSGl1SHdXbTQ" TargetMode="External"/><Relationship Id="rId526" Type="http://schemas.openxmlformats.org/officeDocument/2006/relationships/hyperlink" Target="https://docs.google.com/open?id=0B5-iztf28QNJX1R3UlB2UUVwc0U" TargetMode="External"/><Relationship Id="rId794" Type="http://schemas.openxmlformats.org/officeDocument/2006/relationships/hyperlink" Target="https://docs.google.com/open?id=0B5-iztf28QNJUS1RMnpyalRKclU" TargetMode="External"/><Relationship Id="rId527" Type="http://schemas.openxmlformats.org/officeDocument/2006/relationships/hyperlink" Target="https://docs.google.com/open?id=0B5-iztf28QNJX1R3UlB2UUVwc0U" TargetMode="External"/><Relationship Id="rId795" Type="http://schemas.openxmlformats.org/officeDocument/2006/relationships/hyperlink" Target="https://docs.google.com/open?id=0B5-iztf28QNJUS1RMnpyalRKclU" TargetMode="External"/><Relationship Id="rId528" Type="http://schemas.openxmlformats.org/officeDocument/2006/relationships/hyperlink" Target="https://docs.google.com/open?id=0B5-iztf28QNJOXJudkxRWGxSYXc" TargetMode="External"/><Relationship Id="rId796" Type="http://schemas.openxmlformats.org/officeDocument/2006/relationships/hyperlink" Target="https://docs.google.com/open?id=0B5-iztf28QNJa2hZMDRtTEdxcUk" TargetMode="External"/><Relationship Id="rId529" Type="http://schemas.openxmlformats.org/officeDocument/2006/relationships/hyperlink" Target="https://docs.google.com/open?id=0B5-iztf28QNJOXJudkxRWGxSYXc" TargetMode="External"/><Relationship Id="rId797" Type="http://schemas.openxmlformats.org/officeDocument/2006/relationships/hyperlink" Target="https://docs.google.com/open?id=0B5-iztf28QNJa2hZMDRtTEdxcUk" TargetMode="External"/><Relationship Id="rId798" Type="http://schemas.openxmlformats.org/officeDocument/2006/relationships/hyperlink" Target="https://docs.google.com/open?id=0B5-iztf28QNJWFFjVnJ5TENVaU0" TargetMode="External"/><Relationship Id="rId799" Type="http://schemas.openxmlformats.org/officeDocument/2006/relationships/hyperlink" Target="https://docs.google.com/open?id=0B5-iztf28QNJWFFjVnJ5TENVaU0" TargetMode="External"/><Relationship Id="rId520" Type="http://schemas.openxmlformats.org/officeDocument/2006/relationships/hyperlink" Target="https://docs.google.com/open?id=0B5-iztf28QNJNFBrSXg3ZlVPVkk" TargetMode="External"/><Relationship Id="rId521" Type="http://schemas.openxmlformats.org/officeDocument/2006/relationships/hyperlink" Target="https://docs.google.com/open?id=0B5-iztf28QNJNFBrSXg3ZlVPVkk" TargetMode="External"/><Relationship Id="rId519" Type="http://schemas.openxmlformats.org/officeDocument/2006/relationships/hyperlink" Target="https://docs.google.com/open?id=0B5-iztf28QNJVlhmMkFzb3hJMDA" TargetMode="External"/><Relationship Id="rId513" Type="http://schemas.openxmlformats.org/officeDocument/2006/relationships/hyperlink" Target="https://docs.google.com/open?id=0B5-iztf28QNJOFJodWdPeWV4UlE" TargetMode="External"/><Relationship Id="rId514" Type="http://schemas.openxmlformats.org/officeDocument/2006/relationships/hyperlink" Target="https://docs.google.com/open?id=0B5-iztf28QNJeEdxd1ZPZUJSWmc" TargetMode="External"/><Relationship Id="rId511" Type="http://schemas.openxmlformats.org/officeDocument/2006/relationships/hyperlink" Target="https://docs.google.com/open?id=0B5-iztf28QNJdzczY19USU95MHc" TargetMode="External"/><Relationship Id="rId512" Type="http://schemas.openxmlformats.org/officeDocument/2006/relationships/hyperlink" Target="https://docs.google.com/open?id=0B5-iztf28QNJOFJodWdPeWV4UlE" TargetMode="External"/><Relationship Id="rId517" Type="http://schemas.openxmlformats.org/officeDocument/2006/relationships/hyperlink" Target="https://docs.google.com/open?id=0B5-iztf28QNJdl9lZGJMeDU4Tmc" TargetMode="External"/><Relationship Id="rId518" Type="http://schemas.openxmlformats.org/officeDocument/2006/relationships/hyperlink" Target="https://docs.google.com/open?id=0B5-iztf28QNJVlhmMkFzb3hJMDA" TargetMode="External"/><Relationship Id="rId515" Type="http://schemas.openxmlformats.org/officeDocument/2006/relationships/hyperlink" Target="https://docs.google.com/open?id=0B5-iztf28QNJeEdxd1ZPZUJSWmc" TargetMode="External"/><Relationship Id="rId516" Type="http://schemas.openxmlformats.org/officeDocument/2006/relationships/hyperlink" Target="https://docs.google.com/open?id=0B5-iztf28QNJdl9lZGJMeDU4Tmc" TargetMode="External"/><Relationship Id="rId510" Type="http://schemas.openxmlformats.org/officeDocument/2006/relationships/hyperlink" Target="https://docs.google.com/open?id=0B5-iztf28QNJdzczY19USU95MHc" TargetMode="External"/><Relationship Id="rId509" Type="http://schemas.openxmlformats.org/officeDocument/2006/relationships/hyperlink" Target="https://docs.google.com/open?id=0B5-iztf28QNJWWhobm00aG1NMVE" TargetMode="External"/><Relationship Id="rId508" Type="http://schemas.openxmlformats.org/officeDocument/2006/relationships/hyperlink" Target="https://docs.google.com/open?id=0B5-iztf28QNJWWhobm00aG1NMVE" TargetMode="External"/><Relationship Id="rId771" Type="http://schemas.openxmlformats.org/officeDocument/2006/relationships/hyperlink" Target="https://docs.google.com/open?id=0B5-iztf28QNJNlFsSHJiTHFyaGs" TargetMode="External"/><Relationship Id="rId504" Type="http://schemas.openxmlformats.org/officeDocument/2006/relationships/hyperlink" Target="https://docs.google.com/open?id=0B5-iztf28QNJVUlZRW1CUDhMMmc" TargetMode="External"/><Relationship Id="rId772" Type="http://schemas.openxmlformats.org/officeDocument/2006/relationships/hyperlink" Target="https://docs.google.com/open?id=0B5-iztf28QNJUjdSb1N1bU9xSkE" TargetMode="External"/><Relationship Id="rId505" Type="http://schemas.openxmlformats.org/officeDocument/2006/relationships/hyperlink" Target="https://docs.google.com/open?id=0B5-iztf28QNJVUlZRW1CUDhMMmc" TargetMode="External"/><Relationship Id="rId773" Type="http://schemas.openxmlformats.org/officeDocument/2006/relationships/hyperlink" Target="https://docs.google.com/open?id=0B5-iztf28QNJUjdSb1N1bU9xSkE" TargetMode="External"/><Relationship Id="rId506" Type="http://schemas.openxmlformats.org/officeDocument/2006/relationships/hyperlink" Target="https://docs.google.com/open?id=0B5-iztf28QNJd0F6UTU5RzhKWXc" TargetMode="External"/><Relationship Id="rId774" Type="http://schemas.openxmlformats.org/officeDocument/2006/relationships/hyperlink" Target="https://docs.google.com/open?id=0B5-iztf28QNJaVhYdHFCTFZGODA" TargetMode="External"/><Relationship Id="rId507" Type="http://schemas.openxmlformats.org/officeDocument/2006/relationships/hyperlink" Target="https://docs.google.com/open?id=0B5-iztf28QNJd0F6UTU5RzhKWXc" TargetMode="External"/><Relationship Id="rId500" Type="http://schemas.openxmlformats.org/officeDocument/2006/relationships/hyperlink" Target="https://docs.google.com/open?id=0B5-iztf28QNJWDVmTHJ3U1pLbDg" TargetMode="External"/><Relationship Id="rId501" Type="http://schemas.openxmlformats.org/officeDocument/2006/relationships/hyperlink" Target="https://docs.google.com/open?id=0B5-iztf28QNJWDVmTHJ3U1pLbDg" TargetMode="External"/><Relationship Id="rId502" Type="http://schemas.openxmlformats.org/officeDocument/2006/relationships/hyperlink" Target="https://docs.google.com/open?id=0B5-iztf28QNJZHhQXzJqQThqWTA" TargetMode="External"/><Relationship Id="rId770" Type="http://schemas.openxmlformats.org/officeDocument/2006/relationships/hyperlink" Target="https://docs.google.com/open?id=0B5-iztf28QNJNlFsSHJiTHFyaGs" TargetMode="External"/><Relationship Id="rId503" Type="http://schemas.openxmlformats.org/officeDocument/2006/relationships/hyperlink" Target="https://docs.google.com/open?id=0B5-iztf28QNJZHhQXzJqQThqWTA" TargetMode="External"/><Relationship Id="rId779" Type="http://schemas.openxmlformats.org/officeDocument/2006/relationships/hyperlink" Target="https://docs.google.com/open?id=0B5-iztf28QNJdlNlc0Nia05yVnM" TargetMode="External"/><Relationship Id="rId775" Type="http://schemas.openxmlformats.org/officeDocument/2006/relationships/hyperlink" Target="https://docs.google.com/open?id=0B5-iztf28QNJaVhYdHFCTFZGODA" TargetMode="External"/><Relationship Id="rId776" Type="http://schemas.openxmlformats.org/officeDocument/2006/relationships/hyperlink" Target="https://docs.google.com/open?id=0B5-iztf28QNJMmtMS0luV2VISGs" TargetMode="External"/><Relationship Id="rId777" Type="http://schemas.openxmlformats.org/officeDocument/2006/relationships/hyperlink" Target="https://docs.google.com/open?id=0B5-iztf28QNJMmtMS0luV2VISGs" TargetMode="External"/><Relationship Id="rId778" Type="http://schemas.openxmlformats.org/officeDocument/2006/relationships/hyperlink" Target="https://docs.google.com/open?id=0B5-iztf28QNJdlNlc0Nia05yVnM" TargetMode="External"/><Relationship Id="rId784" Type="http://schemas.openxmlformats.org/officeDocument/2006/relationships/hyperlink" Target="https://docs.google.com/open?id=0B5-iztf28QNJUWxyZWg4amJLa2c" TargetMode="External"/><Relationship Id="rId785" Type="http://schemas.openxmlformats.org/officeDocument/2006/relationships/hyperlink" Target="https://docs.google.com/open?id=0B5-iztf28QNJUWxyZWg4amJLa2c" TargetMode="External"/><Relationship Id="rId782" Type="http://schemas.openxmlformats.org/officeDocument/2006/relationships/hyperlink" Target="https://docs.google.com/open?id=0B5-iztf28QNJRV96QldQMnV6YTA" TargetMode="External"/><Relationship Id="rId783" Type="http://schemas.openxmlformats.org/officeDocument/2006/relationships/hyperlink" Target="https://docs.google.com/open?id=0B5-iztf28QNJRV96QldQMnV6YTA" TargetMode="External"/><Relationship Id="rId780" Type="http://schemas.openxmlformats.org/officeDocument/2006/relationships/hyperlink" Target="https://docs.google.com/open?id=0B5-iztf28QNJOElSZ0VJQUUzZ1k" TargetMode="External"/><Relationship Id="rId781" Type="http://schemas.openxmlformats.org/officeDocument/2006/relationships/hyperlink" Target="https://docs.google.com/open?id=0B5-iztf28QNJOElSZ0VJQUUzZ1k" TargetMode="External"/><Relationship Id="rId788" Type="http://schemas.openxmlformats.org/officeDocument/2006/relationships/hyperlink" Target="https://docs.google.com/open?id=0B5-iztf28QNJVkREd3VLTzFjQjQ" TargetMode="External"/><Relationship Id="rId789" Type="http://schemas.openxmlformats.org/officeDocument/2006/relationships/hyperlink" Target="https://docs.google.com/open?id=0B5-iztf28QNJVkREd3VLTzFjQjQ" TargetMode="External"/><Relationship Id="rId786" Type="http://schemas.openxmlformats.org/officeDocument/2006/relationships/hyperlink" Target="https://docs.google.com/open?id=0B5-iztf28QNJS3RCSjFzWXM5dk0" TargetMode="External"/><Relationship Id="rId787" Type="http://schemas.openxmlformats.org/officeDocument/2006/relationships/hyperlink" Target="https://docs.google.com/open?id=0B5-iztf28QNJS3RCSjFzWXM5dk0" TargetMode="External"/><Relationship Id="rId809" Type="http://schemas.openxmlformats.org/officeDocument/2006/relationships/hyperlink" Target="https://docs.google.com/open?id=0B5-iztf28QNJaXdPS2VmVEpNaVE" TargetMode="External"/><Relationship Id="rId807" Type="http://schemas.openxmlformats.org/officeDocument/2006/relationships/hyperlink" Target="https://docs.google.com/open?id=0B5-iztf28QNJTHh1S0RjZUFsakE" TargetMode="External"/><Relationship Id="rId808" Type="http://schemas.openxmlformats.org/officeDocument/2006/relationships/hyperlink" Target="https://docs.google.com/open?id=0B5-iztf28QNJaXdPS2VmVEpNaVE" TargetMode="External"/><Relationship Id="rId805" Type="http://schemas.openxmlformats.org/officeDocument/2006/relationships/hyperlink" Target="https://docs.google.com/open?id=0B5-iztf28QNJbmtsa0lYdUcyX0k" TargetMode="External"/><Relationship Id="rId806" Type="http://schemas.openxmlformats.org/officeDocument/2006/relationships/hyperlink" Target="https://docs.google.com/open?id=0B5-iztf28QNJTHh1S0RjZUFsakE" TargetMode="External"/><Relationship Id="rId804" Type="http://schemas.openxmlformats.org/officeDocument/2006/relationships/hyperlink" Target="https://docs.google.com/open?id=0B5-iztf28QNJbmtsa0lYdUcyX0k" TargetMode="External"/><Relationship Id="rId803" Type="http://schemas.openxmlformats.org/officeDocument/2006/relationships/hyperlink" Target="https://docs.google.com/open?id=0B5-iztf28QNJdTBQc01BbnlWNjg" TargetMode="External"/><Relationship Id="rId802" Type="http://schemas.openxmlformats.org/officeDocument/2006/relationships/hyperlink" Target="https://docs.google.com/open?id=0B5-iztf28QNJdTBQc01BbnlWNjg" TargetMode="External"/><Relationship Id="rId801" Type="http://schemas.openxmlformats.org/officeDocument/2006/relationships/hyperlink" Target="https://docs.google.com/open?id=0B5-iztf28QNJYnpwNHpGS3BxTW8" TargetMode="External"/><Relationship Id="rId800" Type="http://schemas.openxmlformats.org/officeDocument/2006/relationships/hyperlink" Target="https://docs.google.com/open?id=0B5-iztf28QNJYnpwNHpGS3BxTW8" TargetMode="External"/><Relationship Id="rId399" Type="http://schemas.openxmlformats.org/officeDocument/2006/relationships/hyperlink" Target="https://docs.google.com/open?id=0B5-iztf28QNJbDhBZ2JSZnlrM2M" TargetMode="External"/><Relationship Id="rId398" Type="http://schemas.openxmlformats.org/officeDocument/2006/relationships/hyperlink" Target="https://docs.google.com/open?id=0B5-iztf28QNJbDhBZ2JSZnlrM2M" TargetMode="External"/><Relationship Id="rId397" Type="http://schemas.openxmlformats.org/officeDocument/2006/relationships/hyperlink" Target="https://docs.google.com/open?id=0B5-iztf28QNJZW8xeHRZbG1LZmc" TargetMode="External"/><Relationship Id="rId396" Type="http://schemas.openxmlformats.org/officeDocument/2006/relationships/hyperlink" Target="https://docs.google.com/open?id=0B5-iztf28QNJZW8xeHRZbG1LZmc" TargetMode="External"/><Relationship Id="rId395" Type="http://schemas.openxmlformats.org/officeDocument/2006/relationships/hyperlink" Target="https://docs.google.com/open?id=0B5-iztf28QNJMjlsX194R1kwTU0" TargetMode="External"/><Relationship Id="rId394" Type="http://schemas.openxmlformats.org/officeDocument/2006/relationships/hyperlink" Target="https://docs.google.com/open?id=0B5-iztf28QNJMjlsX194R1kwTU0" TargetMode="External"/><Relationship Id="rId393" Type="http://schemas.openxmlformats.org/officeDocument/2006/relationships/hyperlink" Target="https://docs.google.com/open?id=0B5-iztf28QNJOV9yY2p4QzRqM28" TargetMode="External"/><Relationship Id="rId109" Type="http://schemas.openxmlformats.org/officeDocument/2006/relationships/hyperlink" Target="https://docs.google.com/open?id=0B5-iztf28QNJT3BTOGNKYUxjeFE" TargetMode="External"/><Relationship Id="rId108" Type="http://schemas.openxmlformats.org/officeDocument/2006/relationships/hyperlink" Target="https://docs.google.com/open?id=0B5-iztf28QNJT3BTOGNKYUxjeFE" TargetMode="External"/><Relationship Id="rId105" Type="http://schemas.openxmlformats.org/officeDocument/2006/relationships/hyperlink" Target="https://docs.google.com/open?id=0B5-iztf28QNJRWlQSDZ1THZObm8" TargetMode="External"/><Relationship Id="rId104" Type="http://schemas.openxmlformats.org/officeDocument/2006/relationships/hyperlink" Target="https://docs.google.com/open?id=0B5-iztf28QNJRWlQSDZ1THZObm8" TargetMode="External"/><Relationship Id="rId107" Type="http://schemas.openxmlformats.org/officeDocument/2006/relationships/hyperlink" Target="https://docs.google.com/open?id=0B5-iztf28QNJb1YyRTRNM1N0bWc" TargetMode="External"/><Relationship Id="rId106" Type="http://schemas.openxmlformats.org/officeDocument/2006/relationships/hyperlink" Target="https://docs.google.com/open?id=0B5-iztf28QNJb1YyRTRNM1N0bWc" TargetMode="External"/><Relationship Id="rId101" Type="http://schemas.openxmlformats.org/officeDocument/2006/relationships/hyperlink" Target="https://docs.google.com/open?id=0B5-iztf28QNJeXBDX19KbTg0R2s" TargetMode="External"/><Relationship Id="rId100" Type="http://schemas.openxmlformats.org/officeDocument/2006/relationships/hyperlink" Target="https://docs.google.com/open?id=0B5-iztf28QNJeXBDX19KbTg0R2s" TargetMode="External"/><Relationship Id="rId103" Type="http://schemas.openxmlformats.org/officeDocument/2006/relationships/hyperlink" Target="https://docs.google.com/open?id=0B5-iztf28QNJaHludHRYQ3FXNVk" TargetMode="External"/><Relationship Id="rId102" Type="http://schemas.openxmlformats.org/officeDocument/2006/relationships/hyperlink" Target="https://docs.google.com/open?id=0B5-iztf28QNJaHludHRYQ3FXNVk" TargetMode="External"/><Relationship Id="rId374" Type="http://schemas.openxmlformats.org/officeDocument/2006/relationships/hyperlink" Target="https://docs.google.com/open?id=0B5-iztf28QNJQkdJUUpkSnhsSU0" TargetMode="External"/><Relationship Id="rId118" Type="http://schemas.openxmlformats.org/officeDocument/2006/relationships/hyperlink" Target="https://docs.google.com/open?id=0B5-iztf28QNJLUo1VHdEZTRqbG8" TargetMode="External"/><Relationship Id="rId373" Type="http://schemas.openxmlformats.org/officeDocument/2006/relationships/hyperlink" Target="https://docs.google.com/open?id=0B5-iztf28QNJYXU5RERGcFFmWE0" TargetMode="External"/><Relationship Id="rId117" Type="http://schemas.openxmlformats.org/officeDocument/2006/relationships/hyperlink" Target="https://docs.google.com/open?id=0B5-iztf28QNJbUZKOGhJVHQzV2c" TargetMode="External"/><Relationship Id="rId372" Type="http://schemas.openxmlformats.org/officeDocument/2006/relationships/hyperlink" Target="https://docs.google.com/open?id=0B5-iztf28QNJYXU5RERGcFFmWE0" TargetMode="External"/><Relationship Id="rId116" Type="http://schemas.openxmlformats.org/officeDocument/2006/relationships/hyperlink" Target="https://docs.google.com/open?id=0B5-iztf28QNJbUZKOGhJVHQzV2c" TargetMode="External"/><Relationship Id="rId371" Type="http://schemas.openxmlformats.org/officeDocument/2006/relationships/hyperlink" Target="https://docs.google.com/open?id=0B5-iztf28QNJZ1g2NGJSbmpjbVE" TargetMode="External"/><Relationship Id="rId115" Type="http://schemas.openxmlformats.org/officeDocument/2006/relationships/hyperlink" Target="https://docs.google.com/open?id=0B5-iztf28QNJZmpwTTUzcEppaEE" TargetMode="External"/><Relationship Id="rId378" Type="http://schemas.openxmlformats.org/officeDocument/2006/relationships/hyperlink" Target="https://docs.google.com/open?id=0B5-iztf28QNJSEliX01PZ2Nma1U" TargetMode="External"/><Relationship Id="rId377" Type="http://schemas.openxmlformats.org/officeDocument/2006/relationships/hyperlink" Target="https://docs.google.com/open?id=0B5-iztf28QNJVFdtZ3lFSXB1ZjQ" TargetMode="External"/><Relationship Id="rId376" Type="http://schemas.openxmlformats.org/officeDocument/2006/relationships/hyperlink" Target="https://docs.google.com/open?id=0B5-iztf28QNJVFdtZ3lFSXB1ZjQ" TargetMode="External"/><Relationship Id="rId375" Type="http://schemas.openxmlformats.org/officeDocument/2006/relationships/hyperlink" Target="https://docs.google.com/open?id=0B5-iztf28QNJQkdJUUpkSnhsSU0" TargetMode="External"/><Relationship Id="rId119" Type="http://schemas.openxmlformats.org/officeDocument/2006/relationships/hyperlink" Target="https://docs.google.com/open?id=0B5-iztf28QNJLUo1VHdEZTRqbG8" TargetMode="External"/><Relationship Id="rId110" Type="http://schemas.openxmlformats.org/officeDocument/2006/relationships/hyperlink" Target="https://docs.google.com/open?id=0B5-iztf28QNJRm5qelN6S0g2MEE" TargetMode="External"/><Relationship Id="rId379" Type="http://schemas.openxmlformats.org/officeDocument/2006/relationships/hyperlink" Target="https://docs.google.com/open?id=0B5-iztf28QNJSEliX01PZ2Nma1U" TargetMode="External"/><Relationship Id="rId114" Type="http://schemas.openxmlformats.org/officeDocument/2006/relationships/hyperlink" Target="https://docs.google.com/open?id=0B5-iztf28QNJZmpwTTUzcEppaEE" TargetMode="External"/><Relationship Id="rId113" Type="http://schemas.openxmlformats.org/officeDocument/2006/relationships/hyperlink" Target="https://docs.google.com/open?id=0B5-iztf28QNJYTliNW9iQ19YY1U" TargetMode="External"/><Relationship Id="rId112" Type="http://schemas.openxmlformats.org/officeDocument/2006/relationships/hyperlink" Target="https://docs.google.com/open?id=0B5-iztf28QNJYTliNW9iQ19YY1U" TargetMode="External"/><Relationship Id="rId111" Type="http://schemas.openxmlformats.org/officeDocument/2006/relationships/hyperlink" Target="https://docs.google.com/open?id=0B5-iztf28QNJRm5qelN6S0g2MEE" TargetMode="External"/><Relationship Id="rId380" Type="http://schemas.openxmlformats.org/officeDocument/2006/relationships/hyperlink" Target="https://docs.google.com/open?id=0B5-iztf28QNJUGZzMm9ZVDBXZUE" TargetMode="External"/><Relationship Id="rId381" Type="http://schemas.openxmlformats.org/officeDocument/2006/relationships/hyperlink" Target="https://docs.google.com/open?id=0B5-iztf28QNJUGZzMm9ZVDBXZUE" TargetMode="External"/><Relationship Id="rId383" Type="http://schemas.openxmlformats.org/officeDocument/2006/relationships/hyperlink" Target="https://docs.google.com/open?id=0B5-iztf28QNJdFowM3JhcDVFSlk" TargetMode="External"/><Relationship Id="rId127" Type="http://schemas.openxmlformats.org/officeDocument/2006/relationships/hyperlink" Target="https://docs.google.com/open?id=0B5-iztf28QNJRTAwbE9JNUpwWVk" TargetMode="External"/><Relationship Id="rId382" Type="http://schemas.openxmlformats.org/officeDocument/2006/relationships/hyperlink" Target="https://docs.google.com/open?id=0B5-iztf28QNJdFowM3JhcDVFSlk" TargetMode="External"/><Relationship Id="rId126" Type="http://schemas.openxmlformats.org/officeDocument/2006/relationships/hyperlink" Target="https://docs.google.com/open?id=0B5-iztf28QNJRTAwbE9JNUpwWVk" TargetMode="External"/><Relationship Id="rId129" Type="http://schemas.openxmlformats.org/officeDocument/2006/relationships/hyperlink" Target="https://docs.google.com/open?id=0B5-iztf28QNJUWVNb0kycHJMQUk" TargetMode="External"/><Relationship Id="rId385" Type="http://schemas.openxmlformats.org/officeDocument/2006/relationships/hyperlink" Target="https://docs.google.com/open?id=0B5-iztf28QNJdS1MeW8tV1BGc3c" TargetMode="External"/><Relationship Id="rId384" Type="http://schemas.openxmlformats.org/officeDocument/2006/relationships/hyperlink" Target="https://docs.google.com/open?id=0B5-iztf28QNJdS1MeW8tV1BGc3c" TargetMode="External"/><Relationship Id="rId128" Type="http://schemas.openxmlformats.org/officeDocument/2006/relationships/hyperlink" Target="https://docs.google.com/open?id=0B5-iztf28QNJUWVNb0kycHJMQUk" TargetMode="External"/><Relationship Id="rId387" Type="http://schemas.openxmlformats.org/officeDocument/2006/relationships/hyperlink" Target="https://docs.google.com/open?id=0B5-iztf28QNJbWlINXNzcERYMEE" TargetMode="External"/><Relationship Id="rId386" Type="http://schemas.openxmlformats.org/officeDocument/2006/relationships/hyperlink" Target="https://docs.google.com/open?id=0B5-iztf28QNJbWlINXNzcERYMEE" TargetMode="External"/><Relationship Id="rId389" Type="http://schemas.openxmlformats.org/officeDocument/2006/relationships/hyperlink" Target="https://docs.google.com/open?id=0B5-iztf28QNJbzhlRTVTY1FYRlk" TargetMode="External"/><Relationship Id="rId388" Type="http://schemas.openxmlformats.org/officeDocument/2006/relationships/hyperlink" Target="https://docs.google.com/open?id=0B5-iztf28QNJbzhlRTVTY1FYRlk" TargetMode="External"/><Relationship Id="rId121" Type="http://schemas.openxmlformats.org/officeDocument/2006/relationships/hyperlink" Target="https://docs.google.com/open?id=0B5-iztf28QNJTHBzOTRoanN6WUE" TargetMode="External"/><Relationship Id="rId120" Type="http://schemas.openxmlformats.org/officeDocument/2006/relationships/hyperlink" Target="https://docs.google.com/open?id=0B5-iztf28QNJTHBzOTRoanN6WUE" TargetMode="External"/><Relationship Id="rId123" Type="http://schemas.openxmlformats.org/officeDocument/2006/relationships/hyperlink" Target="https://docs.google.com/open?id=0B5-iztf28QNJYmJZTV9ybnFoNDA" TargetMode="External"/><Relationship Id="rId122" Type="http://schemas.openxmlformats.org/officeDocument/2006/relationships/hyperlink" Target="https://docs.google.com/open?id=0B5-iztf28QNJYmJZTV9ybnFoNDA" TargetMode="External"/><Relationship Id="rId125" Type="http://schemas.openxmlformats.org/officeDocument/2006/relationships/hyperlink" Target="https://docs.google.com/open?id=0B5-iztf28QNJZmNPZzhNVUgydGc" TargetMode="External"/><Relationship Id="rId124" Type="http://schemas.openxmlformats.org/officeDocument/2006/relationships/hyperlink" Target="https://docs.google.com/open?id=0B5-iztf28QNJZmNPZzhNVUgydGc" TargetMode="External"/><Relationship Id="rId390" Type="http://schemas.openxmlformats.org/officeDocument/2006/relationships/hyperlink" Target="https://docs.google.com/open?id=0B5-iztf28QNJN1ZVYW9WaVF3R2s" TargetMode="External"/><Relationship Id="rId391" Type="http://schemas.openxmlformats.org/officeDocument/2006/relationships/hyperlink" Target="https://docs.google.com/open?id=0B5-iztf28QNJN1ZVYW9WaVF3R2s" TargetMode="External"/><Relationship Id="rId392" Type="http://schemas.openxmlformats.org/officeDocument/2006/relationships/hyperlink" Target="https://docs.google.com/open?id=0B5-iztf28QNJOV9yY2p4QzRqM28"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15" t="s">
        <v>70</v>
      </c>
      <c r="B1" s="15" t="s">
        <v>74</v>
      </c>
    </row>
    <row r="2">
      <c r="A2" s="13" t="s">
        <v>76</v>
      </c>
      <c r="B2" s="13" t="s">
        <v>77</v>
      </c>
    </row>
    <row r="3">
      <c r="A3" s="13" t="s">
        <v>79</v>
      </c>
      <c r="B3" s="13" t="s">
        <v>80</v>
      </c>
    </row>
    <row r="4">
      <c r="A4" s="13" t="s">
        <v>81</v>
      </c>
      <c r="B4" s="13" t="s">
        <v>82</v>
      </c>
    </row>
    <row r="5">
      <c r="A5" s="13" t="s">
        <v>84</v>
      </c>
      <c r="B5" s="13" t="s">
        <v>85</v>
      </c>
    </row>
    <row r="6">
      <c r="A6" s="13" t="s">
        <v>86</v>
      </c>
      <c r="B6" s="13" t="s">
        <v>87</v>
      </c>
    </row>
    <row r="7">
      <c r="A7" s="13" t="s">
        <v>89</v>
      </c>
      <c r="B7" s="13" t="s">
        <v>90</v>
      </c>
    </row>
    <row r="8">
      <c r="A8" s="13" t="s">
        <v>91</v>
      </c>
      <c r="B8" s="13" t="s">
        <v>92</v>
      </c>
    </row>
    <row r="9">
      <c r="A9" s="13" t="s">
        <v>93</v>
      </c>
      <c r="B9" s="13" t="s">
        <v>94</v>
      </c>
    </row>
    <row r="10">
      <c r="A10" s="13" t="s">
        <v>96</v>
      </c>
      <c r="B10" s="13" t="s">
        <v>97</v>
      </c>
    </row>
    <row r="11">
      <c r="A11" s="13" t="s">
        <v>98</v>
      </c>
      <c r="B11" s="13" t="s">
        <v>101</v>
      </c>
    </row>
    <row r="12">
      <c r="A12" s="13" t="s">
        <v>103</v>
      </c>
      <c r="B12" s="13" t="s">
        <v>90</v>
      </c>
    </row>
    <row r="13">
      <c r="A13" s="13" t="s">
        <v>104</v>
      </c>
      <c r="B13" s="13" t="s">
        <v>105</v>
      </c>
    </row>
    <row r="14">
      <c r="A14" s="13" t="s">
        <v>106</v>
      </c>
      <c r="B14" s="13" t="s">
        <v>107</v>
      </c>
    </row>
    <row r="15">
      <c r="A15" s="13" t="s">
        <v>108</v>
      </c>
      <c r="B15" s="13" t="s">
        <v>109</v>
      </c>
    </row>
    <row r="16">
      <c r="A16" s="13" t="s">
        <v>110</v>
      </c>
      <c r="B16" s="13" t="s">
        <v>111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2" max="2" width="13.86"/>
  </cols>
  <sheetData>
    <row r="1">
      <c r="A1" s="13" t="s">
        <v>39</v>
      </c>
      <c r="B1" s="13" t="s">
        <v>46</v>
      </c>
    </row>
    <row r="2">
      <c r="A2" s="13" t="s">
        <v>48</v>
      </c>
      <c r="B2" s="13" t="s">
        <v>53</v>
      </c>
    </row>
    <row r="3">
      <c r="A3" s="13"/>
      <c r="B3" s="13"/>
    </row>
    <row r="4">
      <c r="A4" s="13"/>
      <c r="B4" s="13"/>
    </row>
    <row r="5">
      <c r="A5" s="13"/>
      <c r="B5" s="13"/>
    </row>
    <row r="6">
      <c r="A6" s="13"/>
      <c r="B6" s="13"/>
    </row>
    <row r="7">
      <c r="A7" s="13"/>
      <c r="B7" s="13"/>
    </row>
    <row r="8">
      <c r="A8" s="13"/>
      <c r="B8" s="13"/>
    </row>
    <row r="9">
      <c r="A9" s="13"/>
      <c r="B9" s="13"/>
    </row>
    <row r="10">
      <c r="A10" s="13"/>
      <c r="B10" s="13"/>
    </row>
    <row r="11">
      <c r="A11" s="13"/>
      <c r="B11" s="13"/>
    </row>
    <row r="12">
      <c r="A12" s="13"/>
      <c r="B12" s="13"/>
    </row>
    <row r="13">
      <c r="A13" s="13"/>
      <c r="B13" s="13"/>
    </row>
    <row r="14">
      <c r="A14" s="13"/>
      <c r="B14" s="13"/>
    </row>
    <row r="15">
      <c r="A15" s="13"/>
      <c r="B15" s="13"/>
    </row>
    <row r="16">
      <c r="A16" s="13"/>
      <c r="B16" s="13"/>
    </row>
    <row r="17">
      <c r="A17" s="13"/>
      <c r="B17" s="13"/>
    </row>
    <row r="18">
      <c r="A18" s="13"/>
      <c r="B18" s="13"/>
    </row>
    <row r="19">
      <c r="A19" s="13"/>
      <c r="B19" s="13"/>
    </row>
    <row r="20">
      <c r="A20" s="13"/>
      <c r="B20" s="13"/>
    </row>
    <row r="21">
      <c r="A21" s="13"/>
      <c r="B21" s="13"/>
    </row>
    <row r="22">
      <c r="A22" s="13"/>
      <c r="B22" s="13"/>
    </row>
    <row r="23">
      <c r="A23" s="13"/>
      <c r="B23" s="13"/>
    </row>
    <row r="24">
      <c r="A24" s="13"/>
      <c r="B24" s="13"/>
    </row>
    <row r="25">
      <c r="A25" s="13"/>
      <c r="B25" s="13"/>
    </row>
    <row r="26">
      <c r="A26" s="13"/>
      <c r="B26" s="13"/>
    </row>
    <row r="27">
      <c r="A27" s="13"/>
      <c r="B27" s="13"/>
    </row>
    <row r="28">
      <c r="A28" s="13"/>
      <c r="B28" s="13"/>
    </row>
    <row r="29">
      <c r="A29" s="13"/>
      <c r="B29" s="13"/>
    </row>
    <row r="30">
      <c r="A30" s="13"/>
      <c r="B30" s="13"/>
    </row>
    <row r="31">
      <c r="A31" s="13"/>
      <c r="B31" s="13"/>
    </row>
    <row r="32">
      <c r="A32" s="13"/>
      <c r="B32" s="13"/>
    </row>
    <row r="33">
      <c r="A33" s="13"/>
      <c r="B33" s="13"/>
    </row>
    <row r="34">
      <c r="A34" s="13"/>
      <c r="B34" s="13"/>
    </row>
    <row r="35">
      <c r="A35" s="13"/>
      <c r="B35" s="13"/>
    </row>
    <row r="36">
      <c r="A36" s="13"/>
      <c r="B36" s="13"/>
    </row>
    <row r="37">
      <c r="A37" s="13"/>
      <c r="B37" s="13"/>
    </row>
    <row r="38">
      <c r="A38" s="13"/>
      <c r="B38" s="13"/>
    </row>
    <row r="39">
      <c r="A39" s="13"/>
      <c r="B39" s="13"/>
    </row>
    <row r="40">
      <c r="A40" s="13"/>
      <c r="B40" s="13"/>
    </row>
    <row r="41">
      <c r="A41" s="13"/>
      <c r="B41" s="13"/>
    </row>
    <row r="42">
      <c r="A42" s="13"/>
      <c r="B42" s="13"/>
    </row>
    <row r="43">
      <c r="A43" s="13"/>
      <c r="B43" s="13"/>
    </row>
    <row r="44">
      <c r="A44" s="13"/>
      <c r="B44" s="13"/>
    </row>
    <row r="45">
      <c r="A45" s="13"/>
      <c r="B45" s="13"/>
    </row>
    <row r="46">
      <c r="A46" s="13"/>
      <c r="B46" s="13"/>
    </row>
    <row r="47">
      <c r="A47" s="13"/>
      <c r="B47" s="13"/>
    </row>
    <row r="48">
      <c r="A48" s="13"/>
      <c r="B48" s="13"/>
    </row>
    <row r="49">
      <c r="A49" s="13"/>
      <c r="B49" s="13"/>
    </row>
    <row r="50">
      <c r="A50" s="13"/>
      <c r="B50" s="13"/>
    </row>
    <row r="51">
      <c r="A51" s="13"/>
      <c r="B51" s="13"/>
    </row>
    <row r="52">
      <c r="A52" s="13"/>
      <c r="B52" s="13"/>
    </row>
    <row r="53">
      <c r="A53" s="13"/>
      <c r="B53" s="13"/>
    </row>
    <row r="54">
      <c r="A54" s="13"/>
      <c r="B54" s="13"/>
    </row>
    <row r="55">
      <c r="A55" s="13"/>
      <c r="B55" s="13"/>
    </row>
    <row r="56">
      <c r="A56" s="13"/>
      <c r="B56" s="13"/>
    </row>
    <row r="57">
      <c r="A57" s="13"/>
      <c r="B57" s="13"/>
    </row>
    <row r="58">
      <c r="A58" s="13"/>
      <c r="B58" s="13"/>
    </row>
    <row r="59">
      <c r="A59" s="13"/>
      <c r="B59" s="13"/>
    </row>
    <row r="60">
      <c r="A60" s="13"/>
      <c r="B60" s="13"/>
    </row>
    <row r="61">
      <c r="A61" s="13"/>
      <c r="B61" s="13"/>
    </row>
    <row r="62">
      <c r="A62" s="13"/>
      <c r="B62" s="13"/>
    </row>
    <row r="63">
      <c r="A63" s="13"/>
      <c r="B63" s="13"/>
    </row>
    <row r="64">
      <c r="A64" s="13"/>
      <c r="B64" s="13"/>
    </row>
    <row r="65">
      <c r="A65" s="13"/>
      <c r="B65" s="13"/>
    </row>
    <row r="66">
      <c r="A66" s="13"/>
      <c r="B66" s="13"/>
    </row>
    <row r="67">
      <c r="A67" s="13"/>
      <c r="B67" s="13"/>
    </row>
    <row r="68">
      <c r="A68" s="13"/>
      <c r="B68" s="13"/>
    </row>
    <row r="69">
      <c r="A69" s="13"/>
      <c r="B69" s="13"/>
    </row>
    <row r="70">
      <c r="A70" s="13"/>
      <c r="B70" s="13"/>
    </row>
    <row r="71">
      <c r="A71" s="13"/>
      <c r="B71" s="13"/>
    </row>
    <row r="72">
      <c r="A72" s="13"/>
      <c r="B72" s="13"/>
    </row>
    <row r="73">
      <c r="A73" s="13"/>
      <c r="B73" s="13"/>
    </row>
    <row r="74">
      <c r="A74" s="13"/>
      <c r="B74" s="13"/>
    </row>
    <row r="75">
      <c r="A75" s="13"/>
      <c r="B75" s="13"/>
    </row>
    <row r="76">
      <c r="A76" s="13"/>
      <c r="B76" s="13"/>
    </row>
    <row r="77">
      <c r="A77" s="13"/>
      <c r="B77" s="13"/>
    </row>
    <row r="78">
      <c r="A78" s="13"/>
      <c r="B78" s="13"/>
    </row>
    <row r="79">
      <c r="A79" s="13"/>
      <c r="B79" s="13"/>
    </row>
    <row r="80">
      <c r="A80" s="13"/>
      <c r="B80" s="13"/>
    </row>
    <row r="81">
      <c r="A81" s="13"/>
      <c r="B81" s="13"/>
    </row>
    <row r="82">
      <c r="A82" s="13"/>
      <c r="B82" s="13"/>
    </row>
    <row r="83">
      <c r="A83" s="13"/>
      <c r="B83" s="13"/>
    </row>
    <row r="84">
      <c r="A84" s="13"/>
      <c r="B84" s="13"/>
    </row>
    <row r="85">
      <c r="A85" s="13"/>
      <c r="B85" s="13"/>
    </row>
    <row r="86">
      <c r="A86" s="13"/>
      <c r="B86" s="13"/>
    </row>
    <row r="87">
      <c r="A87" s="13"/>
      <c r="B87" s="13"/>
    </row>
    <row r="88">
      <c r="A88" s="13"/>
      <c r="B88" s="13"/>
    </row>
    <row r="89">
      <c r="A89" s="13"/>
      <c r="B89" s="13"/>
    </row>
    <row r="90">
      <c r="A90" s="13"/>
      <c r="B90" s="13"/>
    </row>
    <row r="91">
      <c r="A91" s="13"/>
      <c r="B91" s="13"/>
    </row>
    <row r="92">
      <c r="A92" s="13"/>
      <c r="B92" s="13"/>
    </row>
    <row r="93">
      <c r="A93" s="13"/>
      <c r="B93" s="13"/>
    </row>
    <row r="94">
      <c r="A94" s="13"/>
      <c r="B94" s="13"/>
    </row>
    <row r="95">
      <c r="A95" s="13"/>
      <c r="B95" s="13"/>
    </row>
    <row r="96">
      <c r="A96" s="13"/>
      <c r="B96" s="13"/>
    </row>
    <row r="97">
      <c r="A97" s="13"/>
      <c r="B97" s="13"/>
    </row>
    <row r="98">
      <c r="A98" s="13"/>
      <c r="B98" s="13"/>
    </row>
    <row r="99">
      <c r="A99" s="13"/>
      <c r="B99" s="13"/>
    </row>
    <row r="100">
      <c r="A100" s="13"/>
      <c r="B100" s="13"/>
    </row>
    <row r="101">
      <c r="A101" s="13"/>
      <c r="B101" s="13"/>
    </row>
    <row r="102">
      <c r="A102" s="13"/>
      <c r="B102" s="13"/>
    </row>
    <row r="103">
      <c r="A103" s="13"/>
      <c r="B103" s="13"/>
    </row>
    <row r="104">
      <c r="A104" s="13"/>
      <c r="B104" s="13"/>
    </row>
    <row r="105">
      <c r="A105" s="13"/>
      <c r="B105" s="13"/>
    </row>
    <row r="106">
      <c r="A106" s="13"/>
      <c r="B106" s="13"/>
    </row>
    <row r="107">
      <c r="A107" s="13"/>
      <c r="B107" s="13"/>
    </row>
    <row r="108">
      <c r="A108" s="13"/>
      <c r="B108" s="13"/>
    </row>
    <row r="109">
      <c r="A109" s="13"/>
      <c r="B109" s="13"/>
    </row>
    <row r="110">
      <c r="A110" s="13"/>
      <c r="B110" s="13"/>
    </row>
    <row r="111">
      <c r="A111" s="13"/>
      <c r="B111" s="13"/>
    </row>
    <row r="112">
      <c r="A112" s="13"/>
      <c r="B112" s="13"/>
    </row>
    <row r="113">
      <c r="A113" s="13"/>
      <c r="B113" s="13"/>
    </row>
    <row r="114">
      <c r="A114" s="13"/>
      <c r="B114" s="13"/>
    </row>
    <row r="115">
      <c r="A115" s="13"/>
      <c r="B115" s="13"/>
    </row>
    <row r="116">
      <c r="A116" s="13"/>
      <c r="B116" s="13"/>
    </row>
    <row r="117">
      <c r="A117" s="13"/>
      <c r="B117" s="13"/>
    </row>
    <row r="118">
      <c r="A118" s="13"/>
      <c r="B118" s="13"/>
    </row>
    <row r="119">
      <c r="A119" s="13"/>
      <c r="B119" s="13"/>
    </row>
    <row r="120">
      <c r="A120" s="13"/>
      <c r="B120" s="13"/>
    </row>
    <row r="121">
      <c r="A121" s="13"/>
      <c r="B121" s="13"/>
    </row>
    <row r="122">
      <c r="A122" s="13"/>
      <c r="B122" s="13"/>
    </row>
    <row r="123">
      <c r="A123" s="13"/>
      <c r="B123" s="13"/>
    </row>
    <row r="124">
      <c r="A124" s="13"/>
      <c r="B124" s="13"/>
    </row>
    <row r="125">
      <c r="A125" s="13"/>
      <c r="B125" s="13"/>
    </row>
    <row r="126">
      <c r="A126" s="13"/>
      <c r="B126" s="13"/>
    </row>
    <row r="127">
      <c r="A127" s="13"/>
      <c r="B127" s="13"/>
    </row>
    <row r="128">
      <c r="A128" s="13"/>
      <c r="B128" s="13"/>
    </row>
    <row r="129">
      <c r="A129" s="13"/>
      <c r="B129" s="13"/>
    </row>
    <row r="130">
      <c r="A130" s="13"/>
      <c r="B130" s="13"/>
    </row>
    <row r="131">
      <c r="A131" s="13"/>
      <c r="B131" s="13"/>
    </row>
    <row r="132">
      <c r="A132" s="13"/>
      <c r="B132" s="13"/>
    </row>
    <row r="133">
      <c r="A133" s="13"/>
      <c r="B133" s="13"/>
    </row>
    <row r="134">
      <c r="A134" s="13"/>
      <c r="B134" s="13"/>
    </row>
    <row r="135">
      <c r="A135" s="13"/>
      <c r="B135" s="13"/>
    </row>
    <row r="136">
      <c r="A136" s="13"/>
      <c r="B136" s="13"/>
    </row>
    <row r="137">
      <c r="A137" s="13"/>
      <c r="B137" s="13"/>
    </row>
    <row r="138">
      <c r="A138" s="13"/>
      <c r="B138" s="13"/>
    </row>
    <row r="139">
      <c r="A139" s="13"/>
      <c r="B139" s="13"/>
    </row>
    <row r="140">
      <c r="A140" s="13"/>
      <c r="B140" s="13"/>
    </row>
    <row r="141">
      <c r="A141" s="13"/>
      <c r="B141" s="13"/>
    </row>
    <row r="142">
      <c r="A142" s="13"/>
      <c r="B142" s="13"/>
    </row>
    <row r="143">
      <c r="A143" s="13"/>
      <c r="B143" s="13"/>
    </row>
    <row r="144">
      <c r="A144" s="13"/>
      <c r="B144" s="13"/>
    </row>
    <row r="145">
      <c r="A145" s="13"/>
      <c r="B145" s="13"/>
    </row>
    <row r="146">
      <c r="A146" s="13"/>
      <c r="B146" s="13"/>
    </row>
    <row r="147">
      <c r="A147" s="13"/>
      <c r="B147" s="13"/>
    </row>
    <row r="148">
      <c r="A148" s="13"/>
      <c r="B148" s="13"/>
    </row>
    <row r="149">
      <c r="A149" s="13"/>
      <c r="B149" s="13"/>
    </row>
    <row r="150">
      <c r="A150" s="13"/>
      <c r="B150" s="13"/>
    </row>
    <row r="151">
      <c r="A151" s="13"/>
      <c r="B151" s="13"/>
    </row>
    <row r="152">
      <c r="A152" s="13"/>
      <c r="B152" s="13"/>
    </row>
    <row r="153">
      <c r="A153" s="13"/>
      <c r="B153" s="13"/>
    </row>
    <row r="154">
      <c r="A154" s="13"/>
      <c r="B154" s="13"/>
    </row>
    <row r="155">
      <c r="A155" s="13"/>
      <c r="B155" s="13"/>
    </row>
    <row r="156">
      <c r="A156" s="13"/>
      <c r="B156" s="13"/>
    </row>
    <row r="157">
      <c r="A157" s="13"/>
      <c r="B157" s="13"/>
    </row>
    <row r="158">
      <c r="A158" s="13"/>
      <c r="B158" s="13"/>
    </row>
    <row r="159">
      <c r="A159" s="13"/>
      <c r="B159" s="13"/>
    </row>
    <row r="160">
      <c r="A160" s="13"/>
      <c r="B160" s="13"/>
    </row>
    <row r="161">
      <c r="A161" s="13"/>
      <c r="B161" s="13"/>
    </row>
    <row r="162">
      <c r="A162" s="13"/>
      <c r="B162" s="13"/>
    </row>
    <row r="163">
      <c r="A163" s="13"/>
      <c r="B163" s="13"/>
    </row>
    <row r="164">
      <c r="A164" s="13"/>
      <c r="B164" s="13"/>
    </row>
    <row r="165">
      <c r="A165" s="13"/>
      <c r="B165" s="13"/>
    </row>
    <row r="166">
      <c r="A166" s="13"/>
      <c r="B166" s="13"/>
    </row>
    <row r="167">
      <c r="A167" s="13"/>
      <c r="B167" s="13"/>
    </row>
    <row r="168">
      <c r="A168" s="13"/>
      <c r="B168" s="13"/>
    </row>
    <row r="169">
      <c r="A169" s="13"/>
      <c r="B169" s="13"/>
    </row>
    <row r="170">
      <c r="A170" s="13"/>
      <c r="B170" s="13"/>
    </row>
    <row r="171">
      <c r="A171" s="13"/>
      <c r="B171" s="13"/>
    </row>
    <row r="172">
      <c r="A172" s="13"/>
      <c r="B172" s="13"/>
    </row>
    <row r="173">
      <c r="A173" s="13"/>
      <c r="B173" s="13"/>
    </row>
    <row r="174">
      <c r="A174" s="13"/>
      <c r="B174" s="13"/>
    </row>
    <row r="175">
      <c r="A175" s="13"/>
      <c r="B175" s="13"/>
    </row>
    <row r="176">
      <c r="A176" s="13"/>
      <c r="B176" s="13"/>
    </row>
    <row r="177">
      <c r="A177" s="13"/>
      <c r="B177" s="13"/>
    </row>
    <row r="178">
      <c r="A178" s="13"/>
      <c r="B178" s="13"/>
    </row>
    <row r="179">
      <c r="A179" s="13"/>
      <c r="B179" s="13"/>
    </row>
    <row r="180">
      <c r="A180" s="13"/>
      <c r="B180" s="13"/>
    </row>
    <row r="181">
      <c r="A181" s="13"/>
      <c r="B181" s="13"/>
    </row>
    <row r="182">
      <c r="A182" s="13"/>
      <c r="B182" s="13"/>
    </row>
    <row r="183">
      <c r="A183" s="13"/>
      <c r="B183" s="13"/>
    </row>
    <row r="184">
      <c r="A184" s="13"/>
      <c r="B184" s="13"/>
    </row>
    <row r="185">
      <c r="A185" s="13"/>
      <c r="B185" s="13"/>
    </row>
    <row r="186">
      <c r="A186" s="13"/>
      <c r="B186" s="13"/>
    </row>
    <row r="187">
      <c r="A187" s="13"/>
      <c r="B187" s="13"/>
    </row>
    <row r="188">
      <c r="A188" s="13"/>
      <c r="B188" s="13"/>
    </row>
    <row r="189">
      <c r="A189" s="13"/>
      <c r="B189" s="13"/>
    </row>
    <row r="190">
      <c r="A190" s="13"/>
      <c r="B190" s="13"/>
    </row>
    <row r="191">
      <c r="A191" s="13"/>
      <c r="B191" s="13"/>
    </row>
    <row r="192">
      <c r="A192" s="13"/>
      <c r="B192" s="13"/>
    </row>
    <row r="193">
      <c r="A193" s="13"/>
      <c r="B193" s="13"/>
    </row>
    <row r="194">
      <c r="A194" s="13"/>
      <c r="B194" s="13"/>
    </row>
    <row r="195">
      <c r="A195" s="13"/>
      <c r="B195" s="13"/>
    </row>
    <row r="196">
      <c r="A196" s="13"/>
      <c r="B196" s="13"/>
    </row>
    <row r="197">
      <c r="A197" s="13"/>
      <c r="B197" s="13"/>
    </row>
    <row r="198">
      <c r="A198" s="13"/>
      <c r="B198" s="13"/>
    </row>
    <row r="199">
      <c r="A199" s="13"/>
      <c r="B199" s="13"/>
    </row>
    <row r="200">
      <c r="A200" s="13"/>
      <c r="B200" s="13"/>
    </row>
    <row r="201">
      <c r="A201" s="13"/>
      <c r="B201" s="13"/>
    </row>
    <row r="202">
      <c r="A202" s="13"/>
      <c r="B202" s="13"/>
    </row>
    <row r="203">
      <c r="A203" s="13"/>
      <c r="B203" s="13"/>
    </row>
    <row r="204">
      <c r="A204" s="13"/>
      <c r="B204" s="13"/>
    </row>
    <row r="205">
      <c r="A205" s="13"/>
      <c r="B205" s="13"/>
    </row>
    <row r="206">
      <c r="A206" s="13"/>
      <c r="B206" s="13"/>
    </row>
    <row r="207">
      <c r="A207" s="13"/>
      <c r="B207" s="13"/>
    </row>
    <row r="208">
      <c r="A208" s="13"/>
      <c r="B208" s="13"/>
    </row>
    <row r="209">
      <c r="A209" s="13"/>
      <c r="B209" s="13"/>
    </row>
    <row r="210">
      <c r="A210" s="13"/>
      <c r="B210" s="13"/>
    </row>
    <row r="211">
      <c r="A211" s="13"/>
      <c r="B211" s="13"/>
    </row>
    <row r="212">
      <c r="A212" s="13"/>
      <c r="B212" s="13"/>
    </row>
    <row r="213">
      <c r="A213" s="13"/>
      <c r="B213" s="13"/>
    </row>
    <row r="214">
      <c r="A214" s="13"/>
      <c r="B214" s="13"/>
    </row>
    <row r="215">
      <c r="A215" s="13"/>
      <c r="B215" s="13"/>
    </row>
    <row r="216">
      <c r="A216" s="13"/>
      <c r="B216" s="13"/>
    </row>
    <row r="217">
      <c r="A217" s="13"/>
      <c r="B217" s="13"/>
    </row>
    <row r="218">
      <c r="A218" s="13"/>
      <c r="B218" s="13"/>
    </row>
    <row r="219">
      <c r="A219" s="13"/>
      <c r="B219" s="13"/>
    </row>
    <row r="220">
      <c r="A220" s="13"/>
      <c r="B220" s="13"/>
    </row>
    <row r="221">
      <c r="A221" s="13"/>
      <c r="B221" s="13"/>
    </row>
    <row r="222">
      <c r="A222" s="13"/>
      <c r="B222" s="13"/>
    </row>
    <row r="223">
      <c r="A223" s="13"/>
      <c r="B223" s="13"/>
    </row>
    <row r="224">
      <c r="A224" s="13"/>
      <c r="B224" s="13"/>
    </row>
    <row r="225">
      <c r="A225" s="13"/>
      <c r="B225" s="13"/>
    </row>
    <row r="226">
      <c r="A226" s="13"/>
      <c r="B226" s="13"/>
    </row>
    <row r="227">
      <c r="A227" s="13"/>
      <c r="B227" s="13"/>
    </row>
    <row r="228">
      <c r="A228" s="13"/>
      <c r="B228" s="13"/>
    </row>
    <row r="229">
      <c r="A229" s="13"/>
      <c r="B229" s="13"/>
    </row>
    <row r="230">
      <c r="A230" s="13"/>
      <c r="B230" s="13"/>
    </row>
    <row r="231">
      <c r="A231" s="13"/>
      <c r="B231" s="13"/>
    </row>
    <row r="232">
      <c r="A232" s="13"/>
      <c r="B232" s="13"/>
    </row>
    <row r="233">
      <c r="A233" s="13"/>
      <c r="B233" s="13"/>
    </row>
    <row r="234">
      <c r="A234" s="13"/>
      <c r="B234" s="13"/>
    </row>
    <row r="235">
      <c r="A235" s="13"/>
      <c r="B235" s="13"/>
    </row>
    <row r="236">
      <c r="A236" s="13"/>
      <c r="B236" s="13"/>
    </row>
    <row r="237">
      <c r="A237" s="13"/>
      <c r="B237" s="13"/>
    </row>
    <row r="238">
      <c r="A238" s="13"/>
      <c r="B238" s="13"/>
    </row>
    <row r="239">
      <c r="A239" s="13"/>
      <c r="B239" s="13"/>
    </row>
    <row r="240">
      <c r="A240" s="13"/>
      <c r="B240" s="13"/>
    </row>
    <row r="241">
      <c r="A241" s="13"/>
      <c r="B241" s="13"/>
    </row>
    <row r="242">
      <c r="A242" s="13"/>
      <c r="B242" s="13"/>
    </row>
    <row r="243">
      <c r="A243" s="13"/>
      <c r="B243" s="13"/>
    </row>
    <row r="244">
      <c r="A244" s="13"/>
      <c r="B244" s="13"/>
    </row>
    <row r="245">
      <c r="A245" s="13"/>
      <c r="B245" s="13"/>
    </row>
    <row r="246">
      <c r="A246" s="13"/>
      <c r="B246" s="13"/>
    </row>
    <row r="247">
      <c r="A247" s="13"/>
      <c r="B247" s="13"/>
    </row>
    <row r="248">
      <c r="A248" s="13"/>
      <c r="B248" s="13"/>
    </row>
    <row r="249">
      <c r="A249" s="13"/>
      <c r="B249" s="13"/>
    </row>
    <row r="250">
      <c r="A250" s="13"/>
      <c r="B250" s="13"/>
    </row>
    <row r="251">
      <c r="A251" s="13"/>
      <c r="B251" s="13"/>
    </row>
    <row r="252">
      <c r="A252" s="13"/>
      <c r="B252" s="13"/>
    </row>
    <row r="253">
      <c r="A253" s="13"/>
      <c r="B253" s="13"/>
    </row>
    <row r="254">
      <c r="A254" s="13"/>
      <c r="B254" s="13"/>
    </row>
    <row r="255">
      <c r="A255" s="13"/>
      <c r="B255" s="13"/>
    </row>
    <row r="256">
      <c r="A256" s="13"/>
      <c r="B256" s="13"/>
    </row>
    <row r="257">
      <c r="A257" s="13"/>
      <c r="B257" s="13"/>
    </row>
    <row r="258">
      <c r="A258" s="13"/>
      <c r="B258" s="13"/>
    </row>
    <row r="259">
      <c r="A259" s="13"/>
      <c r="B259" s="13"/>
    </row>
    <row r="260">
      <c r="A260" s="13"/>
      <c r="B260" s="13"/>
    </row>
    <row r="261">
      <c r="A261" s="13"/>
      <c r="B261" s="13"/>
    </row>
    <row r="262">
      <c r="A262" s="13"/>
      <c r="B262" s="13"/>
    </row>
    <row r="263">
      <c r="A263" s="13"/>
      <c r="B263" s="13"/>
    </row>
    <row r="264">
      <c r="A264" s="13"/>
      <c r="B264" s="13"/>
    </row>
    <row r="265">
      <c r="A265" s="13"/>
      <c r="B265" s="13"/>
    </row>
    <row r="266">
      <c r="A266" s="13"/>
      <c r="B266" s="13"/>
    </row>
    <row r="267">
      <c r="A267" s="13"/>
      <c r="B267" s="13"/>
    </row>
    <row r="268">
      <c r="A268" s="13"/>
      <c r="B268" s="13"/>
    </row>
    <row r="269">
      <c r="A269" s="13"/>
      <c r="B269" s="13"/>
    </row>
    <row r="270">
      <c r="A270" s="13"/>
      <c r="B270" s="13"/>
    </row>
    <row r="271">
      <c r="A271" s="13"/>
      <c r="B271" s="13"/>
    </row>
    <row r="272">
      <c r="A272" s="13"/>
      <c r="B272" s="13"/>
    </row>
    <row r="273">
      <c r="A273" s="13"/>
      <c r="B273" s="13"/>
    </row>
    <row r="274">
      <c r="A274" s="13"/>
      <c r="B274" s="13"/>
    </row>
    <row r="275">
      <c r="A275" s="13"/>
      <c r="B275" s="13"/>
    </row>
    <row r="276">
      <c r="A276" s="13"/>
      <c r="B276" s="13"/>
    </row>
    <row r="277">
      <c r="A277" s="13"/>
      <c r="B277" s="13"/>
    </row>
    <row r="278">
      <c r="A278" s="13"/>
      <c r="B278" s="13"/>
    </row>
    <row r="279">
      <c r="A279" s="13"/>
      <c r="B279" s="13"/>
    </row>
    <row r="280">
      <c r="A280" s="13"/>
      <c r="B280" s="13"/>
    </row>
    <row r="281">
      <c r="A281" s="13"/>
      <c r="B281" s="13"/>
    </row>
    <row r="282">
      <c r="A282" s="13"/>
      <c r="B282" s="13"/>
    </row>
    <row r="283">
      <c r="A283" s="13"/>
      <c r="B283" s="13"/>
    </row>
    <row r="284">
      <c r="A284" s="13"/>
      <c r="B284" s="13"/>
    </row>
    <row r="285">
      <c r="A285" s="13"/>
      <c r="B285" s="13"/>
    </row>
    <row r="286">
      <c r="A286" s="13"/>
      <c r="B286" s="13"/>
    </row>
    <row r="287">
      <c r="A287" s="13"/>
      <c r="B287" s="13"/>
    </row>
    <row r="288">
      <c r="A288" s="13"/>
      <c r="B288" s="13"/>
    </row>
    <row r="289">
      <c r="A289" s="13"/>
      <c r="B289" s="13"/>
    </row>
    <row r="290">
      <c r="A290" s="13"/>
      <c r="B290" s="13"/>
    </row>
    <row r="291">
      <c r="A291" s="13"/>
      <c r="B291" s="13"/>
    </row>
    <row r="292">
      <c r="A292" s="13"/>
      <c r="B292" s="13"/>
    </row>
    <row r="293">
      <c r="A293" s="13"/>
      <c r="B293" s="13"/>
    </row>
    <row r="294">
      <c r="A294" s="13"/>
      <c r="B294" s="13"/>
    </row>
    <row r="295">
      <c r="A295" s="13"/>
      <c r="B295" s="13"/>
    </row>
    <row r="296">
      <c r="A296" s="13"/>
      <c r="B296" s="13"/>
    </row>
    <row r="297">
      <c r="A297" s="13"/>
      <c r="B297" s="13"/>
    </row>
    <row r="298">
      <c r="A298" s="13"/>
      <c r="B298" s="13"/>
    </row>
    <row r="299">
      <c r="A299" s="13"/>
      <c r="B299" s="13"/>
    </row>
    <row r="300">
      <c r="A300" s="13"/>
      <c r="B300" s="13"/>
    </row>
    <row r="301">
      <c r="A301" s="13"/>
      <c r="B301" s="13"/>
    </row>
    <row r="302">
      <c r="A302" s="13"/>
      <c r="B302" s="13"/>
    </row>
    <row r="303">
      <c r="A303" s="13"/>
      <c r="B303" s="13"/>
    </row>
    <row r="304">
      <c r="A304" s="13"/>
      <c r="B304" s="13"/>
    </row>
    <row r="305">
      <c r="A305" s="13"/>
      <c r="B305" s="13"/>
    </row>
    <row r="306">
      <c r="A306" s="13"/>
      <c r="B306" s="13"/>
    </row>
    <row r="307">
      <c r="A307" s="13"/>
      <c r="B307" s="13"/>
    </row>
    <row r="308">
      <c r="A308" s="13"/>
      <c r="B308" s="13"/>
    </row>
    <row r="309">
      <c r="A309" s="13"/>
      <c r="B309" s="13"/>
    </row>
    <row r="310">
      <c r="A310" s="13"/>
      <c r="B310" s="13"/>
    </row>
    <row r="311">
      <c r="A311" s="13"/>
      <c r="B311" s="13"/>
    </row>
    <row r="312">
      <c r="A312" s="13"/>
      <c r="B312" s="13"/>
    </row>
    <row r="313">
      <c r="A313" s="13"/>
      <c r="B313" s="13"/>
    </row>
    <row r="314">
      <c r="A314" s="13"/>
      <c r="B314" s="13"/>
    </row>
    <row r="315">
      <c r="A315" s="13"/>
      <c r="B315" s="13"/>
    </row>
    <row r="316">
      <c r="A316" s="13"/>
      <c r="B316" s="13"/>
    </row>
    <row r="317">
      <c r="A317" s="13"/>
      <c r="B317" s="13"/>
    </row>
    <row r="318">
      <c r="A318" s="13"/>
      <c r="B318" s="13"/>
    </row>
    <row r="319">
      <c r="A319" s="13"/>
      <c r="B319" s="13"/>
    </row>
    <row r="320">
      <c r="A320" s="13"/>
      <c r="B320" s="13"/>
    </row>
    <row r="321">
      <c r="A321" s="13"/>
      <c r="B321" s="13"/>
    </row>
    <row r="322">
      <c r="A322" s="13"/>
      <c r="B322" s="13"/>
    </row>
    <row r="323">
      <c r="A323" s="13"/>
      <c r="B323" s="13"/>
    </row>
    <row r="324">
      <c r="A324" s="13"/>
      <c r="B324" s="13"/>
    </row>
    <row r="325">
      <c r="A325" s="13"/>
      <c r="B325" s="13"/>
    </row>
    <row r="326">
      <c r="A326" s="13"/>
      <c r="B326" s="13"/>
    </row>
    <row r="327">
      <c r="A327" s="13"/>
      <c r="B327" s="13"/>
    </row>
    <row r="328">
      <c r="A328" s="13"/>
      <c r="B328" s="13"/>
    </row>
    <row r="329">
      <c r="A329" s="13"/>
      <c r="B329" s="13"/>
    </row>
    <row r="330">
      <c r="A330" s="13"/>
      <c r="B330" s="13"/>
    </row>
    <row r="331">
      <c r="A331" s="13"/>
      <c r="B331" s="13"/>
    </row>
    <row r="332">
      <c r="A332" s="13"/>
      <c r="B332" s="13"/>
    </row>
    <row r="333">
      <c r="A333" s="13"/>
      <c r="B333" s="13"/>
    </row>
    <row r="334">
      <c r="A334" s="13"/>
      <c r="B334" s="13"/>
    </row>
    <row r="335">
      <c r="A335" s="13"/>
      <c r="B335" s="13"/>
    </row>
    <row r="336">
      <c r="A336" s="13"/>
      <c r="B336" s="13"/>
    </row>
    <row r="337">
      <c r="A337" s="13"/>
      <c r="B337" s="13"/>
    </row>
    <row r="338">
      <c r="A338" s="13"/>
      <c r="B338" s="13"/>
    </row>
    <row r="339">
      <c r="A339" s="13"/>
      <c r="B339" s="13"/>
    </row>
    <row r="340">
      <c r="A340" s="13"/>
      <c r="B340" s="13"/>
    </row>
    <row r="341">
      <c r="A341" s="13"/>
      <c r="B341" s="13"/>
    </row>
    <row r="342">
      <c r="A342" s="13"/>
      <c r="B342" s="13"/>
    </row>
    <row r="343">
      <c r="A343" s="13"/>
      <c r="B343" s="13"/>
    </row>
    <row r="344">
      <c r="A344" s="13"/>
      <c r="B344" s="13"/>
    </row>
    <row r="345">
      <c r="A345" s="13"/>
      <c r="B345" s="13"/>
    </row>
    <row r="346">
      <c r="A346" s="13"/>
      <c r="B346" s="13"/>
    </row>
    <row r="347">
      <c r="A347" s="13"/>
      <c r="B347" s="13"/>
    </row>
    <row r="348">
      <c r="A348" s="13"/>
      <c r="B348" s="13"/>
    </row>
    <row r="349">
      <c r="A349" s="13"/>
      <c r="B349" s="13"/>
    </row>
    <row r="350">
      <c r="A350" s="13"/>
      <c r="B350" s="13"/>
    </row>
    <row r="351">
      <c r="A351" s="13"/>
      <c r="B351" s="13"/>
    </row>
    <row r="352">
      <c r="A352" s="13"/>
      <c r="B352" s="13"/>
    </row>
    <row r="353">
      <c r="A353" s="13"/>
      <c r="B353" s="13"/>
    </row>
    <row r="354">
      <c r="A354" s="13"/>
      <c r="B354" s="13"/>
    </row>
    <row r="355">
      <c r="A355" s="13"/>
      <c r="B355" s="13"/>
    </row>
    <row r="356">
      <c r="A356" s="13"/>
      <c r="B356" s="13"/>
    </row>
    <row r="357">
      <c r="A357" s="13"/>
      <c r="B357" s="13"/>
    </row>
    <row r="358">
      <c r="A358" s="13"/>
      <c r="B358" s="13"/>
    </row>
    <row r="359">
      <c r="A359" s="13"/>
      <c r="B359" s="13"/>
    </row>
    <row r="360">
      <c r="A360" s="13"/>
      <c r="B360" s="13"/>
    </row>
    <row r="361">
      <c r="A361" s="13"/>
      <c r="B361" s="13"/>
    </row>
    <row r="362">
      <c r="A362" s="13"/>
      <c r="B362" s="13"/>
    </row>
    <row r="363">
      <c r="A363" s="13"/>
      <c r="B363" s="13"/>
    </row>
    <row r="364">
      <c r="A364" s="13"/>
      <c r="B364" s="13"/>
    </row>
    <row r="365">
      <c r="A365" s="13"/>
      <c r="B365" s="13"/>
    </row>
    <row r="366">
      <c r="A366" s="13"/>
      <c r="B366" s="13"/>
    </row>
    <row r="367">
      <c r="A367" s="13"/>
      <c r="B367" s="13"/>
    </row>
    <row r="368">
      <c r="A368" s="13"/>
      <c r="B368" s="13"/>
    </row>
    <row r="369">
      <c r="A369" s="13"/>
      <c r="B369" s="13"/>
    </row>
    <row r="370">
      <c r="A370" s="13"/>
      <c r="B370" s="13"/>
    </row>
    <row r="371">
      <c r="A371" s="13"/>
      <c r="B371" s="13"/>
    </row>
    <row r="372">
      <c r="A372" s="13"/>
      <c r="B372" s="13"/>
    </row>
    <row r="373">
      <c r="A373" s="13"/>
      <c r="B373" s="13"/>
    </row>
    <row r="374">
      <c r="A374" s="13"/>
      <c r="B374" s="13"/>
    </row>
    <row r="375">
      <c r="A375" s="13"/>
      <c r="B375" s="13"/>
    </row>
    <row r="376">
      <c r="A376" s="13"/>
      <c r="B376" s="13"/>
    </row>
    <row r="377">
      <c r="A377" s="13"/>
      <c r="B377" s="13"/>
    </row>
    <row r="378">
      <c r="A378" s="13"/>
      <c r="B378" s="13"/>
    </row>
    <row r="379">
      <c r="A379" s="13"/>
      <c r="B379" s="13"/>
    </row>
    <row r="380">
      <c r="A380" s="13"/>
      <c r="B380" s="13"/>
    </row>
    <row r="381">
      <c r="A381" s="13"/>
      <c r="B381" s="13"/>
    </row>
    <row r="382">
      <c r="A382" s="13"/>
      <c r="B382" s="13"/>
    </row>
    <row r="383">
      <c r="A383" s="13"/>
      <c r="B383" s="13"/>
    </row>
    <row r="384">
      <c r="A384" s="13"/>
      <c r="B384" s="13"/>
    </row>
    <row r="385">
      <c r="A385" s="13"/>
      <c r="B385" s="13"/>
    </row>
    <row r="386">
      <c r="A386" s="13"/>
      <c r="B386" s="13"/>
    </row>
    <row r="387">
      <c r="A387" s="13"/>
      <c r="B387" s="13"/>
    </row>
    <row r="388">
      <c r="A388" s="13"/>
      <c r="B388" s="13"/>
    </row>
    <row r="389">
      <c r="A389" s="13"/>
      <c r="B389" s="13"/>
    </row>
    <row r="390">
      <c r="A390" s="13"/>
      <c r="B390" s="13"/>
    </row>
    <row r="391">
      <c r="A391" s="13"/>
      <c r="B391" s="13"/>
    </row>
    <row r="392">
      <c r="A392" s="13"/>
      <c r="B392" s="13"/>
    </row>
    <row r="393">
      <c r="A393" s="13"/>
      <c r="B393" s="13"/>
    </row>
    <row r="394">
      <c r="A394" s="13"/>
      <c r="B394" s="13"/>
    </row>
    <row r="395">
      <c r="A395" s="13"/>
      <c r="B395" s="13"/>
    </row>
    <row r="396">
      <c r="A396" s="13"/>
      <c r="B396" s="13"/>
    </row>
    <row r="397">
      <c r="A397" s="13"/>
      <c r="B397" s="13"/>
    </row>
    <row r="398">
      <c r="A398" s="13"/>
      <c r="B398" s="13"/>
    </row>
    <row r="399">
      <c r="A399" s="13"/>
      <c r="B399" s="13"/>
    </row>
    <row r="400">
      <c r="A400" s="13"/>
      <c r="B400" s="13"/>
    </row>
    <row r="401">
      <c r="A401" s="13"/>
      <c r="B401" s="13"/>
    </row>
    <row r="402">
      <c r="A402" s="13"/>
      <c r="B402" s="13"/>
    </row>
    <row r="403">
      <c r="A403" s="13"/>
      <c r="B403" s="13"/>
    </row>
    <row r="404">
      <c r="A404" s="13"/>
      <c r="B404" s="13"/>
    </row>
    <row r="405">
      <c r="A405" s="13"/>
      <c r="B405" s="13"/>
    </row>
    <row r="406">
      <c r="A406" s="13"/>
      <c r="B406" s="13"/>
    </row>
    <row r="407">
      <c r="A407" s="13"/>
      <c r="B407" s="13"/>
    </row>
    <row r="408">
      <c r="A408" s="13"/>
      <c r="B408" s="13"/>
    </row>
    <row r="409">
      <c r="A409" s="13"/>
      <c r="B409" s="13"/>
    </row>
    <row r="410">
      <c r="A410" s="13"/>
      <c r="B410" s="13"/>
    </row>
    <row r="411">
      <c r="A411" s="13"/>
      <c r="B411" s="13"/>
    </row>
    <row r="412">
      <c r="A412" s="13"/>
      <c r="B412" s="13"/>
    </row>
    <row r="413">
      <c r="A413" s="13"/>
      <c r="B413" s="13"/>
    </row>
    <row r="414">
      <c r="A414" s="13"/>
      <c r="B414" s="13"/>
    </row>
    <row r="415">
      <c r="A415" s="13"/>
      <c r="B415" s="13"/>
    </row>
    <row r="416">
      <c r="A416" s="13"/>
      <c r="B416" s="13"/>
    </row>
    <row r="417">
      <c r="A417" s="13"/>
      <c r="B417" s="13"/>
    </row>
    <row r="418">
      <c r="A418" s="13"/>
      <c r="B418" s="13"/>
    </row>
    <row r="419">
      <c r="A419" s="13"/>
      <c r="B419" s="13"/>
    </row>
    <row r="420">
      <c r="A420" s="13"/>
      <c r="B420" s="13"/>
    </row>
    <row r="421">
      <c r="A421" s="13"/>
      <c r="B421" s="13"/>
    </row>
    <row r="422">
      <c r="A422" s="13"/>
      <c r="B422" s="13"/>
    </row>
    <row r="423">
      <c r="A423" s="13"/>
      <c r="B423" s="13"/>
    </row>
    <row r="424">
      <c r="A424" s="13"/>
      <c r="B424" s="13"/>
    </row>
    <row r="425">
      <c r="A425" s="13"/>
      <c r="B425" s="13"/>
    </row>
    <row r="426">
      <c r="A426" s="13"/>
      <c r="B426" s="13"/>
    </row>
    <row r="427">
      <c r="A427" s="13"/>
      <c r="B427" s="13"/>
    </row>
    <row r="428">
      <c r="A428" s="13"/>
      <c r="B428" s="13"/>
    </row>
    <row r="429">
      <c r="A429" s="13"/>
      <c r="B429" s="13"/>
    </row>
    <row r="430">
      <c r="A430" s="13"/>
      <c r="B430" s="13"/>
    </row>
    <row r="431">
      <c r="A431" s="13"/>
      <c r="B431" s="13"/>
    </row>
    <row r="432">
      <c r="A432" s="13"/>
      <c r="B432" s="13"/>
    </row>
    <row r="433">
      <c r="A433" s="13"/>
      <c r="B433" s="13"/>
    </row>
    <row r="434">
      <c r="A434" s="13"/>
      <c r="B434" s="13"/>
    </row>
    <row r="435">
      <c r="A435" s="13"/>
      <c r="B435" s="13"/>
    </row>
    <row r="436">
      <c r="A436" s="13"/>
      <c r="B436" s="13"/>
    </row>
    <row r="437">
      <c r="A437" s="13"/>
      <c r="B437" s="13"/>
    </row>
    <row r="438">
      <c r="A438" s="13"/>
      <c r="B438" s="13"/>
    </row>
    <row r="439">
      <c r="A439" s="13"/>
      <c r="B439" s="13"/>
    </row>
    <row r="440">
      <c r="A440" s="13"/>
      <c r="B440" s="13"/>
    </row>
    <row r="441">
      <c r="A441" s="13"/>
      <c r="B441" s="13"/>
    </row>
    <row r="442">
      <c r="A442" s="13"/>
      <c r="B442" s="13"/>
    </row>
    <row r="443">
      <c r="A443" s="13"/>
      <c r="B443" s="13"/>
    </row>
    <row r="444">
      <c r="A444" s="13"/>
      <c r="B444" s="13"/>
    </row>
    <row r="445">
      <c r="A445" s="13"/>
      <c r="B445" s="13"/>
    </row>
    <row r="446">
      <c r="A446" s="13"/>
      <c r="B446" s="13"/>
    </row>
    <row r="447">
      <c r="A447" s="13"/>
      <c r="B447" s="13"/>
    </row>
    <row r="448">
      <c r="A448" s="13"/>
      <c r="B448" s="13"/>
    </row>
    <row r="449">
      <c r="A449" s="13"/>
      <c r="B449" s="13"/>
    </row>
    <row r="450">
      <c r="A450" s="13"/>
      <c r="B450" s="13"/>
    </row>
    <row r="451">
      <c r="A451" s="13"/>
      <c r="B451" s="13"/>
    </row>
    <row r="452">
      <c r="A452" s="13"/>
      <c r="B452" s="13"/>
    </row>
    <row r="453">
      <c r="A453" s="13"/>
      <c r="B453" s="13"/>
    </row>
    <row r="454">
      <c r="A454" s="13"/>
      <c r="B454" s="13"/>
    </row>
    <row r="455">
      <c r="A455" s="13"/>
      <c r="B455" s="13"/>
    </row>
    <row r="456">
      <c r="A456" s="13"/>
      <c r="B456" s="13"/>
    </row>
    <row r="457">
      <c r="A457" s="13"/>
      <c r="B457" s="13"/>
    </row>
    <row r="458">
      <c r="A458" s="13"/>
      <c r="B458" s="13"/>
    </row>
    <row r="459">
      <c r="A459" s="13"/>
      <c r="B459" s="13"/>
    </row>
    <row r="460">
      <c r="A460" s="13"/>
      <c r="B460" s="13"/>
    </row>
    <row r="461">
      <c r="A461" s="13"/>
      <c r="B461" s="13"/>
    </row>
    <row r="462">
      <c r="A462" s="13"/>
      <c r="B462" s="13"/>
    </row>
    <row r="463">
      <c r="A463" s="13"/>
      <c r="B463" s="13"/>
    </row>
    <row r="464">
      <c r="A464" s="13"/>
      <c r="B464" s="13"/>
    </row>
    <row r="465">
      <c r="A465" s="13"/>
      <c r="B465" s="13"/>
    </row>
    <row r="466">
      <c r="A466" s="13"/>
      <c r="B466" s="13"/>
    </row>
    <row r="467">
      <c r="A467" s="13"/>
      <c r="B467" s="13"/>
    </row>
    <row r="468">
      <c r="A468" s="13"/>
      <c r="B468" s="13"/>
    </row>
    <row r="469">
      <c r="A469" s="13"/>
      <c r="B469" s="13"/>
    </row>
    <row r="470">
      <c r="A470" s="13"/>
      <c r="B470" s="13"/>
    </row>
    <row r="471">
      <c r="A471" s="13"/>
      <c r="B471" s="13"/>
    </row>
    <row r="472">
      <c r="A472" s="13"/>
      <c r="B472" s="13"/>
    </row>
    <row r="473">
      <c r="A473" s="13"/>
      <c r="B473" s="13"/>
    </row>
    <row r="474">
      <c r="A474" s="13"/>
      <c r="B474" s="13"/>
    </row>
    <row r="475">
      <c r="A475" s="13"/>
      <c r="B475" s="13"/>
    </row>
    <row r="476">
      <c r="A476" s="13"/>
      <c r="B476" s="13"/>
    </row>
    <row r="477">
      <c r="A477" s="13"/>
      <c r="B477" s="13"/>
    </row>
    <row r="478">
      <c r="A478" s="13"/>
      <c r="B478" s="13"/>
    </row>
    <row r="479">
      <c r="A479" s="13"/>
      <c r="B479" s="13"/>
    </row>
    <row r="480">
      <c r="A480" s="13"/>
      <c r="B480" s="13"/>
    </row>
    <row r="481">
      <c r="A481" s="13"/>
      <c r="B481" s="13"/>
    </row>
    <row r="482">
      <c r="A482" s="13"/>
      <c r="B482" s="13"/>
    </row>
    <row r="483">
      <c r="A483" s="13"/>
      <c r="B483" s="13"/>
    </row>
    <row r="484">
      <c r="A484" s="13"/>
      <c r="B484" s="13"/>
    </row>
    <row r="485">
      <c r="A485" s="13"/>
      <c r="B485" s="13"/>
    </row>
    <row r="486">
      <c r="A486" s="13"/>
      <c r="B486" s="13"/>
    </row>
    <row r="487">
      <c r="A487" s="13"/>
      <c r="B487" s="13"/>
    </row>
    <row r="488">
      <c r="A488" s="13"/>
      <c r="B488" s="13"/>
    </row>
    <row r="489">
      <c r="A489" s="13"/>
      <c r="B489" s="13"/>
    </row>
    <row r="490">
      <c r="A490" s="13"/>
      <c r="B490" s="13"/>
    </row>
    <row r="491">
      <c r="A491" s="13"/>
      <c r="B491" s="13"/>
    </row>
    <row r="492">
      <c r="A492" s="13"/>
      <c r="B492" s="13"/>
    </row>
    <row r="493">
      <c r="A493" s="13"/>
      <c r="B493" s="13"/>
    </row>
    <row r="494">
      <c r="A494" s="13"/>
      <c r="B494" s="13"/>
    </row>
    <row r="495">
      <c r="A495" s="13"/>
      <c r="B495" s="13"/>
    </row>
    <row r="496">
      <c r="A496" s="13"/>
      <c r="B496" s="13"/>
    </row>
    <row r="497">
      <c r="A497" s="13"/>
      <c r="B497" s="13"/>
    </row>
    <row r="498">
      <c r="A498" s="13"/>
      <c r="B498" s="13"/>
    </row>
    <row r="499">
      <c r="A499" s="13"/>
      <c r="B499" s="13"/>
    </row>
    <row r="500">
      <c r="A500" s="13"/>
      <c r="B500" s="13"/>
    </row>
    <row r="501">
      <c r="A501" s="13"/>
      <c r="B501" s="13"/>
    </row>
    <row r="502">
      <c r="A502" s="13"/>
      <c r="B502" s="13"/>
    </row>
    <row r="503">
      <c r="A503" s="13"/>
      <c r="B503" s="13"/>
    </row>
    <row r="504">
      <c r="A504" s="13"/>
      <c r="B504" s="13"/>
    </row>
    <row r="505">
      <c r="A505" s="13"/>
      <c r="B505" s="13"/>
    </row>
    <row r="506">
      <c r="A506" s="13"/>
      <c r="B506" s="13"/>
    </row>
    <row r="507">
      <c r="A507" s="13"/>
      <c r="B507" s="13"/>
    </row>
    <row r="508">
      <c r="A508" s="13"/>
      <c r="B508" s="13"/>
    </row>
    <row r="509">
      <c r="A509" s="13"/>
      <c r="B509" s="13"/>
    </row>
    <row r="510">
      <c r="A510" s="13"/>
      <c r="B510" s="13"/>
    </row>
    <row r="511">
      <c r="A511" s="13"/>
      <c r="B511" s="13"/>
    </row>
    <row r="512">
      <c r="A512" s="13"/>
      <c r="B512" s="13"/>
    </row>
    <row r="513">
      <c r="A513" s="13"/>
      <c r="B513" s="13"/>
    </row>
    <row r="514">
      <c r="A514" s="13"/>
      <c r="B514" s="13"/>
    </row>
    <row r="515">
      <c r="A515" s="13"/>
      <c r="B515" s="13"/>
    </row>
    <row r="516">
      <c r="A516" s="13"/>
      <c r="B516" s="13"/>
    </row>
    <row r="517">
      <c r="A517" s="13"/>
      <c r="B517" s="13"/>
    </row>
    <row r="518">
      <c r="A518" s="13"/>
      <c r="B518" s="13"/>
    </row>
    <row r="519">
      <c r="A519" s="13"/>
      <c r="B519" s="13"/>
    </row>
    <row r="520">
      <c r="A520" s="13"/>
      <c r="B520" s="13"/>
    </row>
    <row r="521">
      <c r="A521" s="13"/>
      <c r="B521" s="13"/>
    </row>
    <row r="522">
      <c r="A522" s="13"/>
      <c r="B522" s="13"/>
    </row>
    <row r="523">
      <c r="A523" s="13"/>
      <c r="B523" s="13"/>
    </row>
    <row r="524">
      <c r="A524" s="13"/>
      <c r="B524" s="13"/>
    </row>
    <row r="525">
      <c r="A525" s="13"/>
      <c r="B525" s="13"/>
    </row>
    <row r="526">
      <c r="A526" s="13"/>
      <c r="B526" s="13"/>
    </row>
    <row r="527">
      <c r="A527" s="13"/>
      <c r="B527" s="13"/>
    </row>
    <row r="528">
      <c r="A528" s="13"/>
      <c r="B528" s="13"/>
    </row>
    <row r="529">
      <c r="A529" s="13"/>
      <c r="B529" s="13"/>
    </row>
    <row r="530">
      <c r="A530" s="13"/>
      <c r="B530" s="13"/>
    </row>
    <row r="531">
      <c r="A531" s="13"/>
      <c r="B531" s="13"/>
    </row>
    <row r="532">
      <c r="A532" s="13"/>
      <c r="B532" s="13"/>
    </row>
    <row r="533">
      <c r="A533" s="13"/>
      <c r="B533" s="13"/>
    </row>
    <row r="534">
      <c r="A534" s="13"/>
      <c r="B534" s="13"/>
    </row>
    <row r="535">
      <c r="A535" s="13"/>
      <c r="B535" s="13"/>
    </row>
    <row r="536">
      <c r="A536" s="13"/>
      <c r="B536" s="13"/>
    </row>
    <row r="537">
      <c r="A537" s="13"/>
      <c r="B537" s="13"/>
    </row>
    <row r="538">
      <c r="A538" s="13"/>
      <c r="B538" s="13"/>
    </row>
    <row r="539">
      <c r="A539" s="13"/>
      <c r="B539" s="13"/>
    </row>
    <row r="540">
      <c r="A540" s="13"/>
      <c r="B540" s="13"/>
    </row>
    <row r="541">
      <c r="A541" s="13"/>
      <c r="B541" s="13"/>
    </row>
    <row r="542">
      <c r="A542" s="13"/>
      <c r="B542" s="13"/>
    </row>
    <row r="543">
      <c r="A543" s="13"/>
      <c r="B543" s="13"/>
    </row>
    <row r="544">
      <c r="A544" s="13"/>
      <c r="B544" s="13"/>
    </row>
    <row r="545">
      <c r="A545" s="13"/>
      <c r="B545" s="13"/>
    </row>
    <row r="546">
      <c r="A546" s="13"/>
      <c r="B546" s="13"/>
    </row>
    <row r="547">
      <c r="A547" s="13"/>
      <c r="B547" s="13"/>
    </row>
    <row r="548">
      <c r="A548" s="13"/>
      <c r="B548" s="13"/>
    </row>
    <row r="549">
      <c r="A549" s="13"/>
      <c r="B549" s="13"/>
    </row>
    <row r="550">
      <c r="A550" s="13"/>
      <c r="B550" s="13"/>
    </row>
    <row r="551">
      <c r="A551" s="13"/>
      <c r="B551" s="13"/>
    </row>
    <row r="552">
      <c r="A552" s="13"/>
      <c r="B552" s="13"/>
    </row>
    <row r="553">
      <c r="A553" s="13"/>
      <c r="B553" s="13"/>
    </row>
    <row r="554">
      <c r="A554" s="13"/>
      <c r="B554" s="13"/>
    </row>
    <row r="555">
      <c r="A555" s="13"/>
      <c r="B555" s="13"/>
    </row>
    <row r="556">
      <c r="A556" s="13"/>
      <c r="B556" s="13"/>
    </row>
    <row r="557">
      <c r="A557" s="13"/>
      <c r="B557" s="13"/>
    </row>
    <row r="558">
      <c r="A558" s="13"/>
      <c r="B558" s="13"/>
    </row>
    <row r="559">
      <c r="A559" s="13"/>
      <c r="B559" s="13"/>
    </row>
    <row r="560">
      <c r="A560" s="13"/>
      <c r="B560" s="13"/>
    </row>
    <row r="561">
      <c r="A561" s="13"/>
      <c r="B561" s="13"/>
    </row>
    <row r="562">
      <c r="A562" s="13"/>
      <c r="B562" s="13"/>
    </row>
    <row r="563">
      <c r="A563" s="13"/>
      <c r="B563" s="13"/>
    </row>
    <row r="564">
      <c r="A564" s="13"/>
      <c r="B564" s="13"/>
    </row>
    <row r="565">
      <c r="A565" s="13"/>
      <c r="B565" s="13"/>
    </row>
    <row r="566">
      <c r="A566" s="13"/>
      <c r="B566" s="13"/>
    </row>
    <row r="567">
      <c r="A567" s="13"/>
      <c r="B567" s="13"/>
    </row>
    <row r="568">
      <c r="A568" s="13"/>
      <c r="B568" s="13"/>
    </row>
    <row r="569">
      <c r="A569" s="13"/>
      <c r="B569" s="13"/>
    </row>
    <row r="570">
      <c r="A570" s="13"/>
      <c r="B570" s="13"/>
    </row>
    <row r="571">
      <c r="A571" s="13"/>
      <c r="B571" s="13"/>
    </row>
    <row r="572">
      <c r="A572" s="13"/>
      <c r="B572" s="13"/>
    </row>
    <row r="573">
      <c r="A573" s="13"/>
      <c r="B573" s="13"/>
    </row>
    <row r="574">
      <c r="A574" s="13"/>
      <c r="B574" s="13"/>
    </row>
    <row r="575">
      <c r="A575" s="13"/>
      <c r="B575" s="13"/>
    </row>
    <row r="576">
      <c r="A576" s="13"/>
      <c r="B576" s="13"/>
    </row>
    <row r="577">
      <c r="A577" s="13"/>
      <c r="B577" s="13"/>
    </row>
    <row r="578">
      <c r="A578" s="13"/>
      <c r="B578" s="13"/>
    </row>
    <row r="579">
      <c r="A579" s="13"/>
      <c r="B579" s="13"/>
    </row>
    <row r="580">
      <c r="A580" s="13"/>
      <c r="B580" s="13"/>
    </row>
    <row r="581">
      <c r="A581" s="13"/>
      <c r="B581" s="13"/>
    </row>
    <row r="582">
      <c r="A582" s="13"/>
      <c r="B582" s="13"/>
    </row>
    <row r="583">
      <c r="A583" s="13"/>
      <c r="B583" s="13"/>
    </row>
    <row r="584">
      <c r="A584" s="13"/>
      <c r="B584" s="13"/>
    </row>
    <row r="585">
      <c r="A585" s="13"/>
      <c r="B585" s="13"/>
    </row>
    <row r="586">
      <c r="A586" s="13"/>
      <c r="B586" s="13"/>
    </row>
    <row r="587">
      <c r="A587" s="13"/>
      <c r="B587" s="13"/>
    </row>
    <row r="588">
      <c r="A588" s="13"/>
      <c r="B588" s="13"/>
    </row>
    <row r="589">
      <c r="A589" s="13"/>
      <c r="B589" s="13"/>
    </row>
    <row r="590">
      <c r="A590" s="13"/>
      <c r="B590" s="13"/>
    </row>
    <row r="591">
      <c r="A591" s="13"/>
      <c r="B591" s="13"/>
    </row>
    <row r="592">
      <c r="A592" s="13"/>
      <c r="B592" s="13"/>
    </row>
    <row r="593">
      <c r="A593" s="13"/>
      <c r="B593" s="13"/>
    </row>
    <row r="594">
      <c r="A594" s="13"/>
      <c r="B594" s="13"/>
    </row>
    <row r="595">
      <c r="A595" s="13"/>
      <c r="B595" s="13"/>
    </row>
    <row r="596">
      <c r="A596" s="13"/>
      <c r="B596" s="13"/>
    </row>
    <row r="597">
      <c r="A597" s="13"/>
      <c r="B597" s="13"/>
    </row>
    <row r="598">
      <c r="A598" s="13"/>
      <c r="B598" s="13"/>
    </row>
    <row r="599">
      <c r="A599" s="13"/>
      <c r="B599" s="13"/>
    </row>
    <row r="600">
      <c r="A600" s="13"/>
      <c r="B600" s="13"/>
    </row>
    <row r="601">
      <c r="A601" s="13"/>
      <c r="B601" s="13"/>
    </row>
    <row r="602">
      <c r="A602" s="13"/>
      <c r="B602" s="13"/>
    </row>
    <row r="603">
      <c r="A603" s="13"/>
      <c r="B603" s="13"/>
    </row>
    <row r="604">
      <c r="A604" s="13"/>
      <c r="B604" s="13"/>
    </row>
    <row r="605">
      <c r="A605" s="13"/>
      <c r="B605" s="13"/>
    </row>
    <row r="606">
      <c r="A606" s="13"/>
      <c r="B606" s="13"/>
    </row>
    <row r="607">
      <c r="A607" s="13"/>
      <c r="B607" s="13"/>
    </row>
    <row r="608">
      <c r="A608" s="13"/>
      <c r="B608" s="13"/>
    </row>
    <row r="609">
      <c r="A609" s="13"/>
      <c r="B609" s="13"/>
    </row>
    <row r="610">
      <c r="A610" s="13"/>
      <c r="B610" s="13"/>
    </row>
    <row r="611">
      <c r="A611" s="13"/>
      <c r="B611" s="13"/>
    </row>
    <row r="612">
      <c r="A612" s="13"/>
      <c r="B612" s="13"/>
    </row>
    <row r="613">
      <c r="A613" s="13"/>
      <c r="B613" s="13"/>
    </row>
    <row r="614">
      <c r="A614" s="13"/>
      <c r="B614" s="13"/>
    </row>
    <row r="615">
      <c r="A615" s="13"/>
      <c r="B615" s="13"/>
    </row>
    <row r="616">
      <c r="A616" s="13"/>
      <c r="B616" s="13"/>
    </row>
    <row r="617">
      <c r="A617" s="13"/>
      <c r="B617" s="13"/>
    </row>
    <row r="618">
      <c r="A618" s="13"/>
      <c r="B618" s="13"/>
    </row>
    <row r="619">
      <c r="A619" s="13"/>
      <c r="B619" s="13"/>
    </row>
    <row r="620">
      <c r="A620" s="13"/>
      <c r="B620" s="13"/>
    </row>
    <row r="621">
      <c r="A621" s="13"/>
      <c r="B621" s="13"/>
    </row>
    <row r="622">
      <c r="A622" s="13"/>
      <c r="B622" s="13"/>
    </row>
    <row r="623">
      <c r="A623" s="13"/>
      <c r="B623" s="13"/>
    </row>
    <row r="624">
      <c r="A624" s="13"/>
      <c r="B624" s="13"/>
    </row>
    <row r="625">
      <c r="A625" s="13"/>
      <c r="B625" s="13"/>
    </row>
    <row r="626">
      <c r="A626" s="13"/>
      <c r="B626" s="13"/>
    </row>
    <row r="627">
      <c r="A627" s="13"/>
      <c r="B627" s="13"/>
    </row>
    <row r="628">
      <c r="A628" s="13"/>
      <c r="B628" s="13"/>
    </row>
    <row r="629">
      <c r="A629" s="13"/>
      <c r="B629" s="13"/>
    </row>
    <row r="630">
      <c r="A630" s="13"/>
      <c r="B630" s="13"/>
    </row>
    <row r="631">
      <c r="A631" s="13"/>
      <c r="B631" s="13"/>
    </row>
    <row r="632">
      <c r="A632" s="13"/>
      <c r="B632" s="13"/>
    </row>
    <row r="633">
      <c r="A633" s="13"/>
      <c r="B633" s="13"/>
    </row>
    <row r="634">
      <c r="A634" s="13"/>
      <c r="B634" s="13"/>
    </row>
    <row r="635">
      <c r="A635" s="13"/>
      <c r="B635" s="13"/>
    </row>
    <row r="636">
      <c r="A636" s="13"/>
      <c r="B636" s="13"/>
    </row>
    <row r="637">
      <c r="A637" s="13"/>
      <c r="B637" s="13"/>
    </row>
    <row r="638">
      <c r="A638" s="13"/>
      <c r="B638" s="13"/>
    </row>
    <row r="639">
      <c r="A639" s="13"/>
      <c r="B639" s="13"/>
    </row>
    <row r="640">
      <c r="A640" s="13"/>
      <c r="B640" s="13"/>
    </row>
    <row r="641">
      <c r="A641" s="13"/>
      <c r="B641" s="13"/>
    </row>
    <row r="642">
      <c r="A642" s="13"/>
      <c r="B642" s="13"/>
    </row>
    <row r="643">
      <c r="A643" s="13"/>
      <c r="B643" s="13"/>
    </row>
    <row r="644">
      <c r="A644" s="13"/>
      <c r="B644" s="13"/>
    </row>
    <row r="645">
      <c r="A645" s="13"/>
      <c r="B645" s="13"/>
    </row>
    <row r="646">
      <c r="A646" s="13"/>
      <c r="B646" s="13"/>
    </row>
    <row r="647">
      <c r="A647" s="13"/>
      <c r="B647" s="13"/>
    </row>
    <row r="648">
      <c r="A648" s="13"/>
      <c r="B648" s="13"/>
    </row>
    <row r="649">
      <c r="A649" s="13"/>
      <c r="B649" s="13"/>
    </row>
    <row r="650">
      <c r="A650" s="13"/>
      <c r="B650" s="13"/>
    </row>
    <row r="651">
      <c r="A651" s="13"/>
      <c r="B651" s="13"/>
    </row>
    <row r="652">
      <c r="A652" s="13"/>
      <c r="B652" s="13"/>
    </row>
    <row r="653">
      <c r="A653" s="13"/>
      <c r="B653" s="13"/>
    </row>
    <row r="654">
      <c r="A654" s="13"/>
      <c r="B654" s="13"/>
    </row>
    <row r="655">
      <c r="A655" s="13"/>
      <c r="B655" s="13"/>
    </row>
    <row r="656">
      <c r="A656" s="13"/>
      <c r="B656" s="13"/>
    </row>
    <row r="657">
      <c r="A657" s="13"/>
      <c r="B657" s="13"/>
    </row>
    <row r="658">
      <c r="A658" s="13"/>
      <c r="B658" s="13"/>
    </row>
    <row r="659">
      <c r="A659" s="13"/>
      <c r="B659" s="13"/>
    </row>
    <row r="660">
      <c r="A660" s="13"/>
      <c r="B660" s="13"/>
    </row>
    <row r="661">
      <c r="A661" s="13"/>
      <c r="B661" s="13"/>
    </row>
    <row r="662">
      <c r="A662" s="13"/>
      <c r="B662" s="13"/>
    </row>
    <row r="663">
      <c r="A663" s="13"/>
      <c r="B663" s="13"/>
    </row>
    <row r="664">
      <c r="A664" s="13"/>
      <c r="B664" s="13"/>
    </row>
    <row r="665">
      <c r="A665" s="13"/>
      <c r="B665" s="13"/>
    </row>
    <row r="666">
      <c r="A666" s="13"/>
      <c r="B666" s="13"/>
    </row>
    <row r="667">
      <c r="A667" s="13"/>
      <c r="B667" s="13"/>
    </row>
    <row r="668">
      <c r="A668" s="13"/>
      <c r="B668" s="13"/>
    </row>
    <row r="669">
      <c r="A669" s="13"/>
      <c r="B669" s="13"/>
    </row>
    <row r="670">
      <c r="A670" s="13"/>
      <c r="B670" s="13"/>
    </row>
    <row r="671">
      <c r="A671" s="13"/>
      <c r="B671" s="13"/>
    </row>
    <row r="672">
      <c r="A672" s="13"/>
      <c r="B672" s="13"/>
    </row>
    <row r="673">
      <c r="A673" s="13"/>
      <c r="B673" s="13"/>
    </row>
    <row r="674">
      <c r="A674" s="13"/>
      <c r="B674" s="13"/>
    </row>
    <row r="675">
      <c r="A675" s="13"/>
      <c r="B675" s="13"/>
    </row>
    <row r="676">
      <c r="A676" s="13"/>
      <c r="B676" s="13"/>
    </row>
    <row r="677">
      <c r="A677" s="13"/>
      <c r="B677" s="13"/>
    </row>
    <row r="678">
      <c r="A678" s="13"/>
      <c r="B678" s="13"/>
    </row>
    <row r="679">
      <c r="A679" s="13"/>
      <c r="B679" s="13"/>
    </row>
    <row r="680">
      <c r="A680" s="13"/>
      <c r="B680" s="13"/>
    </row>
    <row r="681">
      <c r="A681" s="13"/>
      <c r="B681" s="13"/>
    </row>
    <row r="682">
      <c r="A682" s="13"/>
      <c r="B682" s="13"/>
    </row>
    <row r="683">
      <c r="A683" s="13"/>
      <c r="B683" s="13"/>
    </row>
    <row r="684">
      <c r="A684" s="13"/>
      <c r="B684" s="13"/>
    </row>
    <row r="685">
      <c r="A685" s="13"/>
      <c r="B685" s="13"/>
    </row>
    <row r="686">
      <c r="A686" s="13"/>
      <c r="B686" s="13"/>
    </row>
    <row r="687">
      <c r="A687" s="13"/>
      <c r="B687" s="13"/>
    </row>
    <row r="688">
      <c r="A688" s="13"/>
      <c r="B688" s="13"/>
    </row>
    <row r="689">
      <c r="A689" s="13"/>
      <c r="B689" s="13"/>
    </row>
    <row r="690">
      <c r="A690" s="13"/>
      <c r="B690" s="13"/>
    </row>
    <row r="691">
      <c r="A691" s="13"/>
      <c r="B691" s="13"/>
    </row>
    <row r="692">
      <c r="A692" s="13"/>
      <c r="B692" s="13"/>
    </row>
    <row r="693">
      <c r="A693" s="13"/>
      <c r="B693" s="13"/>
    </row>
    <row r="694">
      <c r="A694" s="13"/>
      <c r="B694" s="13"/>
    </row>
    <row r="695">
      <c r="A695" s="13"/>
      <c r="B695" s="13"/>
    </row>
    <row r="696">
      <c r="A696" s="13"/>
      <c r="B696" s="13"/>
    </row>
    <row r="697">
      <c r="A697" s="13"/>
      <c r="B697" s="13"/>
    </row>
    <row r="698">
      <c r="A698" s="13"/>
      <c r="B698" s="13"/>
    </row>
    <row r="699">
      <c r="A699" s="13"/>
      <c r="B699" s="13"/>
    </row>
    <row r="700">
      <c r="A700" s="13"/>
      <c r="B700" s="13"/>
    </row>
    <row r="701">
      <c r="A701" s="13"/>
      <c r="B701" s="13"/>
    </row>
    <row r="702">
      <c r="A702" s="13"/>
      <c r="B702" s="13"/>
    </row>
    <row r="703">
      <c r="A703" s="13"/>
      <c r="B703" s="13"/>
    </row>
    <row r="704">
      <c r="A704" s="13"/>
      <c r="B704" s="13"/>
    </row>
    <row r="705">
      <c r="A705" s="13"/>
      <c r="B705" s="13"/>
    </row>
    <row r="706">
      <c r="A706" s="13"/>
      <c r="B706" s="13"/>
    </row>
    <row r="707">
      <c r="A707" s="13"/>
      <c r="B707" s="13"/>
    </row>
    <row r="708">
      <c r="A708" s="13"/>
      <c r="B708" s="13"/>
    </row>
    <row r="709">
      <c r="A709" s="13"/>
      <c r="B709" s="13"/>
    </row>
    <row r="710">
      <c r="A710" s="13"/>
      <c r="B710" s="13"/>
    </row>
    <row r="711">
      <c r="A711" s="13"/>
      <c r="B711" s="13"/>
    </row>
    <row r="712">
      <c r="A712" s="13"/>
      <c r="B712" s="13"/>
    </row>
    <row r="713">
      <c r="A713" s="13"/>
      <c r="B713" s="13"/>
    </row>
    <row r="714">
      <c r="A714" s="13"/>
      <c r="B714" s="13"/>
    </row>
    <row r="715">
      <c r="A715" s="13"/>
      <c r="B715" s="13"/>
    </row>
    <row r="716">
      <c r="A716" s="13"/>
      <c r="B716" s="13"/>
    </row>
    <row r="717">
      <c r="A717" s="13"/>
      <c r="B717" s="13"/>
    </row>
    <row r="718">
      <c r="A718" s="13"/>
      <c r="B718" s="13"/>
    </row>
    <row r="719">
      <c r="A719" s="13"/>
      <c r="B719" s="13"/>
    </row>
    <row r="720">
      <c r="A720" s="13"/>
      <c r="B720" s="13"/>
    </row>
    <row r="721">
      <c r="A721" s="13"/>
      <c r="B721" s="13"/>
    </row>
    <row r="722">
      <c r="A722" s="13"/>
      <c r="B722" s="13"/>
    </row>
    <row r="723">
      <c r="A723" s="13"/>
      <c r="B723" s="13"/>
    </row>
    <row r="724">
      <c r="A724" s="13"/>
      <c r="B724" s="13"/>
    </row>
    <row r="725">
      <c r="A725" s="13"/>
      <c r="B725" s="13"/>
    </row>
    <row r="726">
      <c r="A726" s="13"/>
      <c r="B726" s="13"/>
    </row>
    <row r="727">
      <c r="A727" s="13"/>
      <c r="B727" s="13"/>
    </row>
    <row r="728">
      <c r="A728" s="13"/>
      <c r="B728" s="13"/>
    </row>
    <row r="729">
      <c r="A729" s="13"/>
      <c r="B729" s="13"/>
    </row>
    <row r="730">
      <c r="A730" s="13"/>
      <c r="B730" s="13"/>
    </row>
    <row r="731">
      <c r="A731" s="13"/>
      <c r="B731" s="13"/>
    </row>
    <row r="732">
      <c r="A732" s="13"/>
      <c r="B732" s="13"/>
    </row>
    <row r="733">
      <c r="A733" s="13"/>
      <c r="B733" s="13"/>
    </row>
    <row r="734">
      <c r="A734" s="13"/>
      <c r="B734" s="13"/>
    </row>
    <row r="735">
      <c r="A735" s="13"/>
      <c r="B735" s="13"/>
    </row>
    <row r="736">
      <c r="A736" s="13"/>
      <c r="B736" s="13"/>
    </row>
    <row r="737">
      <c r="A737" s="13"/>
      <c r="B737" s="13"/>
    </row>
    <row r="738">
      <c r="A738" s="13"/>
      <c r="B738" s="13"/>
    </row>
    <row r="739">
      <c r="A739" s="13"/>
      <c r="B739" s="13"/>
    </row>
    <row r="740">
      <c r="A740" s="13"/>
      <c r="B740" s="13"/>
    </row>
    <row r="741">
      <c r="A741" s="13"/>
      <c r="B741" s="13"/>
    </row>
    <row r="742">
      <c r="A742" s="13"/>
      <c r="B742" s="13"/>
    </row>
    <row r="743">
      <c r="A743" s="13"/>
      <c r="B743" s="13"/>
    </row>
    <row r="744">
      <c r="A744" s="13"/>
      <c r="B744" s="13"/>
    </row>
    <row r="745">
      <c r="A745" s="13"/>
      <c r="B745" s="13"/>
    </row>
    <row r="746">
      <c r="A746" s="13"/>
      <c r="B746" s="13"/>
    </row>
    <row r="747">
      <c r="A747" s="13"/>
      <c r="B747" s="13"/>
    </row>
    <row r="748">
      <c r="A748" s="13"/>
      <c r="B748" s="13"/>
    </row>
    <row r="749">
      <c r="A749" s="13"/>
      <c r="B749" s="13"/>
    </row>
    <row r="750">
      <c r="A750" s="13"/>
      <c r="B750" s="13"/>
    </row>
    <row r="751">
      <c r="A751" s="13"/>
      <c r="B751" s="13"/>
    </row>
    <row r="752">
      <c r="A752" s="13"/>
      <c r="B752" s="13"/>
    </row>
    <row r="753">
      <c r="A753" s="13"/>
      <c r="B753" s="13"/>
    </row>
    <row r="754">
      <c r="A754" s="13"/>
      <c r="B754" s="13"/>
    </row>
    <row r="755">
      <c r="A755" s="13"/>
      <c r="B755" s="13"/>
    </row>
    <row r="756">
      <c r="A756" s="13"/>
      <c r="B756" s="13"/>
    </row>
    <row r="757">
      <c r="A757" s="13"/>
      <c r="B757" s="13"/>
    </row>
    <row r="758">
      <c r="A758" s="13"/>
      <c r="B758" s="13"/>
    </row>
    <row r="759">
      <c r="A759" s="13"/>
      <c r="B759" s="13"/>
    </row>
    <row r="760">
      <c r="A760" s="13"/>
      <c r="B760" s="13"/>
    </row>
    <row r="761">
      <c r="A761" s="13"/>
      <c r="B761" s="13"/>
    </row>
    <row r="762">
      <c r="A762" s="13"/>
      <c r="B762" s="13"/>
    </row>
    <row r="763">
      <c r="A763" s="13"/>
      <c r="B763" s="13"/>
    </row>
    <row r="764">
      <c r="A764" s="13"/>
      <c r="B764" s="13"/>
    </row>
    <row r="765">
      <c r="A765" s="13"/>
      <c r="B765" s="13"/>
    </row>
    <row r="766">
      <c r="A766" s="13"/>
      <c r="B766" s="13"/>
    </row>
    <row r="767">
      <c r="A767" s="13"/>
      <c r="B767" s="13"/>
    </row>
    <row r="768">
      <c r="A768" s="13"/>
      <c r="B768" s="13"/>
    </row>
    <row r="769">
      <c r="A769" s="13"/>
      <c r="B769" s="13"/>
    </row>
    <row r="770">
      <c r="A770" s="13"/>
      <c r="B770" s="13"/>
    </row>
    <row r="771">
      <c r="A771" s="13"/>
      <c r="B771" s="13"/>
    </row>
    <row r="772">
      <c r="A772" s="13"/>
      <c r="B772" s="13"/>
    </row>
    <row r="773">
      <c r="A773" s="13"/>
      <c r="B773" s="13"/>
    </row>
    <row r="774">
      <c r="A774" s="13"/>
      <c r="B774" s="13"/>
    </row>
    <row r="775">
      <c r="A775" s="13"/>
      <c r="B775" s="13"/>
    </row>
    <row r="776">
      <c r="A776" s="13"/>
      <c r="B776" s="13"/>
    </row>
    <row r="777">
      <c r="A777" s="13"/>
      <c r="B777" s="13"/>
    </row>
    <row r="778">
      <c r="A778" s="13"/>
      <c r="B778" s="13"/>
    </row>
    <row r="779">
      <c r="A779" s="13"/>
      <c r="B779" s="13"/>
    </row>
    <row r="780">
      <c r="A780" s="13"/>
      <c r="B780" s="13"/>
    </row>
    <row r="781">
      <c r="A781" s="13"/>
      <c r="B781" s="13"/>
    </row>
    <row r="782">
      <c r="A782" s="13"/>
      <c r="B782" s="13"/>
    </row>
    <row r="783">
      <c r="A783" s="13"/>
      <c r="B783" s="13"/>
    </row>
    <row r="784">
      <c r="A784" s="13"/>
      <c r="B784" s="13"/>
    </row>
    <row r="785">
      <c r="A785" s="13"/>
      <c r="B785" s="13"/>
    </row>
    <row r="786">
      <c r="A786" s="13"/>
      <c r="B786" s="13"/>
    </row>
    <row r="787">
      <c r="A787" s="13"/>
      <c r="B787" s="13"/>
    </row>
    <row r="788">
      <c r="A788" s="13"/>
      <c r="B788" s="13"/>
    </row>
    <row r="789">
      <c r="A789" s="13"/>
      <c r="B789" s="13"/>
    </row>
    <row r="790">
      <c r="A790" s="13"/>
      <c r="B790" s="13"/>
    </row>
    <row r="791">
      <c r="A791" s="13"/>
      <c r="B791" s="13"/>
    </row>
    <row r="792">
      <c r="A792" s="13"/>
      <c r="B792" s="13"/>
    </row>
    <row r="793">
      <c r="A793" s="13"/>
      <c r="B793" s="13"/>
    </row>
    <row r="794">
      <c r="A794" s="13"/>
      <c r="B794" s="13"/>
    </row>
    <row r="795">
      <c r="A795" s="13"/>
      <c r="B795" s="13"/>
    </row>
    <row r="796">
      <c r="A796" s="13"/>
      <c r="B796" s="13"/>
    </row>
    <row r="797">
      <c r="A797" s="13"/>
      <c r="B797" s="13"/>
    </row>
    <row r="798">
      <c r="A798" s="13"/>
      <c r="B798" s="13"/>
    </row>
    <row r="799">
      <c r="A799" s="13"/>
      <c r="B799" s="13"/>
    </row>
    <row r="800">
      <c r="A800" s="13"/>
      <c r="B800" s="13"/>
    </row>
    <row r="801">
      <c r="A801" s="13"/>
      <c r="B801" s="13"/>
    </row>
    <row r="802">
      <c r="A802" s="13"/>
      <c r="B802" s="13"/>
    </row>
    <row r="803">
      <c r="A803" s="13"/>
      <c r="B803" s="13"/>
    </row>
    <row r="804">
      <c r="A804" s="13"/>
      <c r="B804" s="13"/>
    </row>
    <row r="805">
      <c r="A805" s="13"/>
      <c r="B805" s="13"/>
    </row>
    <row r="806">
      <c r="A806" s="13"/>
      <c r="B806" s="13"/>
    </row>
    <row r="807">
      <c r="A807" s="13"/>
      <c r="B807" s="13"/>
    </row>
    <row r="808">
      <c r="A808" s="13"/>
      <c r="B808" s="13"/>
    </row>
    <row r="809">
      <c r="A809" s="13"/>
      <c r="B809" s="13"/>
    </row>
    <row r="810">
      <c r="A810" s="13"/>
      <c r="B810" s="13"/>
    </row>
    <row r="811">
      <c r="A811" s="13"/>
      <c r="B811" s="13"/>
    </row>
    <row r="812">
      <c r="A812" s="13"/>
      <c r="B812" s="13"/>
    </row>
    <row r="813">
      <c r="A813" s="13"/>
      <c r="B813" s="13"/>
    </row>
    <row r="814">
      <c r="A814" s="13"/>
      <c r="B814" s="13"/>
    </row>
    <row r="815">
      <c r="A815" s="13"/>
      <c r="B815" s="13"/>
    </row>
    <row r="816">
      <c r="A816" s="13"/>
      <c r="B816" s="13"/>
    </row>
    <row r="817">
      <c r="A817" s="13"/>
      <c r="B817" s="13"/>
    </row>
    <row r="818">
      <c r="A818" s="13"/>
      <c r="B818" s="13"/>
    </row>
    <row r="819">
      <c r="A819" s="13"/>
      <c r="B819" s="13"/>
    </row>
    <row r="820">
      <c r="A820" s="13"/>
      <c r="B820" s="13"/>
    </row>
    <row r="821">
      <c r="A821" s="13"/>
      <c r="B821" s="13"/>
    </row>
    <row r="822">
      <c r="A822" s="13"/>
      <c r="B822" s="13"/>
    </row>
    <row r="823">
      <c r="A823" s="13"/>
      <c r="B823" s="13"/>
    </row>
    <row r="824">
      <c r="A824" s="13"/>
      <c r="B824" s="13"/>
    </row>
    <row r="825">
      <c r="A825" s="13"/>
      <c r="B825" s="13"/>
    </row>
    <row r="826">
      <c r="A826" s="13"/>
      <c r="B826" s="13"/>
    </row>
    <row r="827">
      <c r="A827" s="13"/>
      <c r="B827" s="13"/>
    </row>
    <row r="828">
      <c r="A828" s="13"/>
      <c r="B828" s="13"/>
    </row>
    <row r="829">
      <c r="A829" s="13"/>
      <c r="B829" s="13"/>
    </row>
    <row r="830">
      <c r="A830" s="13"/>
      <c r="B830" s="13"/>
    </row>
    <row r="831">
      <c r="A831" s="13"/>
      <c r="B831" s="13"/>
    </row>
    <row r="832">
      <c r="A832" s="13"/>
      <c r="B832" s="13"/>
    </row>
    <row r="833">
      <c r="A833" s="13"/>
      <c r="B833" s="13"/>
    </row>
    <row r="834">
      <c r="A834" s="13"/>
      <c r="B834" s="13"/>
    </row>
    <row r="835">
      <c r="A835" s="13"/>
      <c r="B835" s="13"/>
    </row>
    <row r="836">
      <c r="A836" s="13"/>
      <c r="B836" s="13"/>
    </row>
    <row r="837">
      <c r="A837" s="13"/>
      <c r="B837" s="13"/>
    </row>
    <row r="838">
      <c r="A838" s="13"/>
      <c r="B838" s="13"/>
    </row>
    <row r="839">
      <c r="A839" s="13"/>
      <c r="B839" s="13"/>
    </row>
    <row r="840">
      <c r="A840" s="13"/>
      <c r="B840" s="13"/>
    </row>
    <row r="841">
      <c r="A841" s="13"/>
      <c r="B841" s="13"/>
    </row>
    <row r="842">
      <c r="A842" s="13"/>
      <c r="B842" s="13"/>
    </row>
    <row r="843">
      <c r="A843" s="13"/>
      <c r="B843" s="13"/>
    </row>
    <row r="844">
      <c r="A844" s="13"/>
      <c r="B844" s="13"/>
    </row>
    <row r="845">
      <c r="A845" s="13"/>
      <c r="B845" s="13"/>
    </row>
    <row r="846">
      <c r="A846" s="13"/>
      <c r="B846" s="13"/>
    </row>
    <row r="847">
      <c r="A847" s="13"/>
      <c r="B847" s="13"/>
    </row>
    <row r="848">
      <c r="A848" s="13"/>
      <c r="B848" s="13"/>
    </row>
    <row r="849">
      <c r="A849" s="13"/>
      <c r="B849" s="13"/>
    </row>
    <row r="850">
      <c r="A850" s="13"/>
      <c r="B850" s="13"/>
    </row>
    <row r="851">
      <c r="A851" s="13"/>
      <c r="B851" s="13"/>
    </row>
    <row r="852">
      <c r="A852" s="13"/>
      <c r="B852" s="13"/>
    </row>
    <row r="853">
      <c r="A853" s="13"/>
      <c r="B853" s="13"/>
    </row>
    <row r="854">
      <c r="A854" s="13"/>
      <c r="B854" s="13"/>
    </row>
    <row r="855">
      <c r="A855" s="13"/>
      <c r="B855" s="13"/>
    </row>
    <row r="856">
      <c r="A856" s="13"/>
      <c r="B856" s="13"/>
    </row>
    <row r="857">
      <c r="A857" s="13"/>
      <c r="B857" s="13"/>
    </row>
    <row r="858">
      <c r="A858" s="13"/>
      <c r="B858" s="13"/>
    </row>
    <row r="859">
      <c r="A859" s="13"/>
      <c r="B859" s="13"/>
    </row>
    <row r="860">
      <c r="A860" s="13"/>
      <c r="B860" s="13"/>
    </row>
    <row r="861">
      <c r="A861" s="13"/>
      <c r="B861" s="13"/>
    </row>
    <row r="862">
      <c r="A862" s="13"/>
      <c r="B862" s="13"/>
    </row>
    <row r="863">
      <c r="A863" s="13"/>
      <c r="B863" s="13"/>
    </row>
    <row r="864">
      <c r="A864" s="13"/>
      <c r="B864" s="13"/>
    </row>
    <row r="865">
      <c r="A865" s="13"/>
      <c r="B865" s="13"/>
    </row>
    <row r="866">
      <c r="A866" s="13"/>
      <c r="B866" s="13"/>
    </row>
    <row r="867">
      <c r="A867" s="13"/>
      <c r="B867" s="13"/>
    </row>
    <row r="868">
      <c r="A868" s="13"/>
      <c r="B868" s="13"/>
    </row>
    <row r="869">
      <c r="A869" s="13"/>
      <c r="B869" s="13"/>
    </row>
    <row r="870">
      <c r="A870" s="13"/>
      <c r="B870" s="13"/>
    </row>
    <row r="871">
      <c r="A871" s="13"/>
      <c r="B871" s="13"/>
    </row>
    <row r="872">
      <c r="A872" s="13"/>
      <c r="B872" s="13"/>
    </row>
    <row r="873">
      <c r="A873" s="13"/>
      <c r="B873" s="13"/>
    </row>
    <row r="874">
      <c r="A874" s="13"/>
      <c r="B874" s="13"/>
    </row>
    <row r="875">
      <c r="A875" s="13"/>
      <c r="B875" s="13"/>
    </row>
    <row r="876">
      <c r="A876" s="13"/>
      <c r="B876" s="13"/>
    </row>
    <row r="877">
      <c r="A877" s="13"/>
      <c r="B877" s="13"/>
    </row>
    <row r="878">
      <c r="A878" s="13"/>
      <c r="B878" s="13"/>
    </row>
    <row r="879">
      <c r="A879" s="13"/>
      <c r="B879" s="13"/>
    </row>
    <row r="880">
      <c r="A880" s="13"/>
      <c r="B880" s="13"/>
    </row>
    <row r="881">
      <c r="A881" s="13"/>
      <c r="B881" s="13"/>
    </row>
    <row r="882">
      <c r="A882" s="13"/>
      <c r="B882" s="13"/>
    </row>
    <row r="883">
      <c r="A883" s="13"/>
      <c r="B883" s="13"/>
    </row>
    <row r="884">
      <c r="A884" s="13"/>
      <c r="B884" s="13"/>
    </row>
    <row r="885">
      <c r="A885" s="13"/>
      <c r="B885" s="13"/>
    </row>
    <row r="886">
      <c r="A886" s="13"/>
      <c r="B886" s="13"/>
    </row>
    <row r="887">
      <c r="A887" s="13"/>
      <c r="B887" s="13"/>
    </row>
    <row r="888">
      <c r="A888" s="13"/>
      <c r="B888" s="13"/>
    </row>
    <row r="889">
      <c r="A889" s="13"/>
      <c r="B889" s="13"/>
    </row>
    <row r="890">
      <c r="A890" s="13"/>
      <c r="B890" s="13"/>
    </row>
    <row r="891">
      <c r="A891" s="13"/>
      <c r="B891" s="13"/>
    </row>
    <row r="892">
      <c r="A892" s="13"/>
      <c r="B892" s="13"/>
    </row>
    <row r="893">
      <c r="A893" s="13"/>
      <c r="B893" s="13"/>
    </row>
    <row r="894">
      <c r="A894" s="13"/>
      <c r="B894" s="13"/>
    </row>
    <row r="895">
      <c r="A895" s="13"/>
      <c r="B895" s="13"/>
    </row>
    <row r="896">
      <c r="A896" s="13"/>
      <c r="B896" s="13"/>
    </row>
    <row r="897">
      <c r="A897" s="13"/>
      <c r="B897" s="13"/>
    </row>
    <row r="898">
      <c r="A898" s="13"/>
      <c r="B898" s="13"/>
    </row>
    <row r="899">
      <c r="A899" s="13"/>
      <c r="B899" s="13"/>
    </row>
    <row r="900">
      <c r="A900" s="13"/>
      <c r="B900" s="13"/>
    </row>
    <row r="901">
      <c r="A901" s="13"/>
      <c r="B901" s="13"/>
    </row>
    <row r="902">
      <c r="A902" s="13"/>
      <c r="B902" s="13"/>
    </row>
    <row r="903">
      <c r="A903" s="13"/>
      <c r="B903" s="13"/>
    </row>
    <row r="904">
      <c r="A904" s="13"/>
      <c r="B904" s="13"/>
    </row>
    <row r="905">
      <c r="A905" s="13"/>
      <c r="B905" s="13"/>
    </row>
    <row r="906">
      <c r="A906" s="13"/>
      <c r="B906" s="13"/>
    </row>
    <row r="907">
      <c r="A907" s="13"/>
      <c r="B907" s="13"/>
    </row>
    <row r="908">
      <c r="A908" s="13"/>
      <c r="B908" s="13"/>
    </row>
    <row r="909">
      <c r="A909" s="13"/>
      <c r="B909" s="13"/>
    </row>
    <row r="910">
      <c r="A910" s="13"/>
      <c r="B910" s="13"/>
    </row>
    <row r="911">
      <c r="A911" s="13"/>
      <c r="B911" s="13"/>
    </row>
    <row r="912">
      <c r="A912" s="13"/>
      <c r="B912" s="13"/>
    </row>
    <row r="913">
      <c r="A913" s="13"/>
      <c r="B913" s="13"/>
    </row>
    <row r="914">
      <c r="A914" s="13"/>
      <c r="B914" s="13"/>
    </row>
    <row r="915">
      <c r="A915" s="13"/>
      <c r="B915" s="13"/>
    </row>
    <row r="916">
      <c r="A916" s="13"/>
      <c r="B916" s="13"/>
    </row>
    <row r="917">
      <c r="A917" s="13"/>
      <c r="B917" s="13"/>
    </row>
    <row r="918">
      <c r="A918" s="13"/>
      <c r="B918" s="13"/>
    </row>
    <row r="919">
      <c r="A919" s="13"/>
      <c r="B919" s="13"/>
    </row>
    <row r="920">
      <c r="A920" s="13"/>
      <c r="B920" s="13"/>
    </row>
    <row r="921">
      <c r="A921" s="13"/>
      <c r="B921" s="13"/>
    </row>
    <row r="922">
      <c r="A922" s="13"/>
      <c r="B922" s="13"/>
    </row>
    <row r="923">
      <c r="A923" s="13"/>
      <c r="B923" s="13"/>
    </row>
    <row r="924">
      <c r="A924" s="13"/>
      <c r="B924" s="13"/>
    </row>
    <row r="925">
      <c r="A925" s="13"/>
      <c r="B925" s="13"/>
    </row>
    <row r="926">
      <c r="A926" s="13"/>
      <c r="B926" s="13"/>
    </row>
    <row r="927">
      <c r="A927" s="13"/>
      <c r="B927" s="13"/>
    </row>
    <row r="928">
      <c r="A928" s="13"/>
      <c r="B928" s="13"/>
    </row>
    <row r="929">
      <c r="A929" s="13"/>
      <c r="B929" s="13"/>
    </row>
    <row r="930">
      <c r="A930" s="13"/>
      <c r="B930" s="13"/>
    </row>
    <row r="931">
      <c r="A931" s="13"/>
      <c r="B931" s="13"/>
    </row>
    <row r="932">
      <c r="A932" s="13"/>
      <c r="B932" s="13"/>
    </row>
    <row r="933">
      <c r="A933" s="13"/>
      <c r="B933" s="13"/>
    </row>
    <row r="934">
      <c r="A934" s="13"/>
      <c r="B934" s="13"/>
    </row>
    <row r="935">
      <c r="A935" s="13"/>
      <c r="B935" s="13"/>
    </row>
    <row r="936">
      <c r="A936" s="13"/>
      <c r="B936" s="13"/>
    </row>
    <row r="937">
      <c r="A937" s="13"/>
      <c r="B937" s="13"/>
    </row>
    <row r="938">
      <c r="A938" s="13"/>
      <c r="B938" s="13"/>
    </row>
    <row r="939">
      <c r="A939" s="13"/>
      <c r="B939" s="13"/>
    </row>
    <row r="940">
      <c r="A940" s="13"/>
      <c r="B940" s="13"/>
    </row>
    <row r="941">
      <c r="A941" s="13"/>
      <c r="B941" s="13"/>
    </row>
    <row r="942">
      <c r="A942" s="13"/>
      <c r="B942" s="13"/>
    </row>
    <row r="943">
      <c r="A943" s="13"/>
      <c r="B943" s="13"/>
    </row>
    <row r="944">
      <c r="A944" s="13"/>
      <c r="B944" s="13"/>
    </row>
    <row r="945">
      <c r="A945" s="13"/>
      <c r="B945" s="13"/>
    </row>
    <row r="946">
      <c r="A946" s="13"/>
      <c r="B946" s="13"/>
    </row>
    <row r="947">
      <c r="A947" s="13"/>
      <c r="B947" s="13"/>
    </row>
    <row r="948">
      <c r="A948" s="13"/>
      <c r="B948" s="13"/>
    </row>
    <row r="949">
      <c r="A949" s="13"/>
      <c r="B949" s="13"/>
    </row>
    <row r="950">
      <c r="A950" s="13"/>
      <c r="B950" s="13"/>
    </row>
    <row r="951">
      <c r="A951" s="13"/>
      <c r="B951" s="13"/>
    </row>
    <row r="952">
      <c r="A952" s="13"/>
      <c r="B952" s="13"/>
    </row>
    <row r="953">
      <c r="A953" s="13"/>
      <c r="B953" s="13"/>
    </row>
    <row r="954">
      <c r="A954" s="13"/>
      <c r="B954" s="13"/>
    </row>
    <row r="955">
      <c r="A955" s="13"/>
      <c r="B955" s="13"/>
    </row>
    <row r="956">
      <c r="A956" s="13"/>
      <c r="B956" s="13"/>
    </row>
    <row r="957">
      <c r="A957" s="13"/>
      <c r="B957" s="13"/>
    </row>
    <row r="958">
      <c r="A958" s="13"/>
      <c r="B958" s="13"/>
    </row>
    <row r="959">
      <c r="A959" s="13"/>
      <c r="B959" s="13"/>
    </row>
    <row r="960">
      <c r="A960" s="13"/>
      <c r="B960" s="13"/>
    </row>
    <row r="961">
      <c r="A961" s="13"/>
      <c r="B961" s="13"/>
    </row>
    <row r="962">
      <c r="A962" s="13"/>
      <c r="B962" s="13"/>
    </row>
    <row r="963">
      <c r="A963" s="13"/>
      <c r="B963" s="13"/>
    </row>
    <row r="964">
      <c r="A964" s="13"/>
      <c r="B964" s="13"/>
    </row>
    <row r="965">
      <c r="A965" s="13"/>
      <c r="B965" s="13"/>
    </row>
    <row r="966">
      <c r="A966" s="13"/>
      <c r="B966" s="13"/>
    </row>
    <row r="967">
      <c r="A967" s="13"/>
      <c r="B967" s="13"/>
    </row>
    <row r="968">
      <c r="A968" s="13"/>
      <c r="B968" s="13"/>
    </row>
    <row r="969">
      <c r="A969" s="13"/>
      <c r="B969" s="13"/>
    </row>
    <row r="970">
      <c r="A970" s="13"/>
      <c r="B970" s="13"/>
    </row>
    <row r="971">
      <c r="A971" s="13"/>
      <c r="B971" s="13"/>
    </row>
    <row r="972">
      <c r="A972" s="13"/>
      <c r="B972" s="13"/>
    </row>
    <row r="973">
      <c r="A973" s="13"/>
      <c r="B973" s="13"/>
    </row>
    <row r="974">
      <c r="A974" s="13"/>
      <c r="B974" s="13"/>
    </row>
    <row r="975">
      <c r="A975" s="13"/>
      <c r="B975" s="13"/>
    </row>
    <row r="976">
      <c r="A976" s="13"/>
      <c r="B976" s="13"/>
    </row>
    <row r="977">
      <c r="A977" s="13"/>
      <c r="B977" s="13"/>
    </row>
    <row r="978">
      <c r="A978" s="13"/>
      <c r="B978" s="13"/>
    </row>
    <row r="979">
      <c r="A979" s="13"/>
      <c r="B979" s="13"/>
    </row>
    <row r="980">
      <c r="A980" s="13"/>
      <c r="B980" s="13"/>
    </row>
    <row r="981">
      <c r="A981" s="13"/>
      <c r="B981" s="13"/>
    </row>
    <row r="982">
      <c r="A982" s="13"/>
      <c r="B982" s="13"/>
    </row>
    <row r="983">
      <c r="A983" s="13"/>
      <c r="B983" s="13"/>
    </row>
    <row r="984">
      <c r="A984" s="13"/>
      <c r="B984" s="13"/>
    </row>
    <row r="985">
      <c r="A985" s="13"/>
      <c r="B985" s="13"/>
    </row>
    <row r="986">
      <c r="A986" s="13"/>
      <c r="B986" s="13"/>
    </row>
    <row r="987">
      <c r="A987" s="13"/>
      <c r="B987" s="13"/>
    </row>
    <row r="988">
      <c r="A988" s="13"/>
      <c r="B988" s="13"/>
    </row>
    <row r="989">
      <c r="A989" s="13"/>
      <c r="B989" s="13"/>
    </row>
    <row r="990">
      <c r="A990" s="13"/>
      <c r="B990" s="13"/>
    </row>
    <row r="991">
      <c r="A991" s="13"/>
      <c r="B991" s="13"/>
    </row>
    <row r="992">
      <c r="A992" s="13"/>
      <c r="B992" s="13"/>
    </row>
    <row r="993">
      <c r="A993" s="13"/>
      <c r="B993" s="13"/>
    </row>
    <row r="994">
      <c r="A994" s="13"/>
      <c r="B994" s="13"/>
    </row>
    <row r="995">
      <c r="A995" s="13"/>
      <c r="B995" s="13"/>
    </row>
    <row r="996">
      <c r="A996" s="13"/>
      <c r="B996" s="13"/>
    </row>
    <row r="997">
      <c r="A997" s="13"/>
      <c r="B997" s="13"/>
    </row>
    <row r="998">
      <c r="A998" s="13"/>
      <c r="B998" s="13"/>
    </row>
    <row r="999">
      <c r="A999" s="13"/>
      <c r="B999" s="13"/>
    </row>
    <row r="1000">
      <c r="A1000" s="13"/>
      <c r="B1000" s="13"/>
    </row>
    <row r="1001">
      <c r="A1001" s="13"/>
      <c r="B1001" s="1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21.57"/>
    <col customWidth="1" min="2" max="2" width="50.43"/>
    <col customWidth="1" min="3" max="3" width="18.86"/>
    <col customWidth="1" min="4" max="4" width="19.0"/>
    <col customWidth="1" min="5" max="5" width="27.43"/>
    <col customWidth="1" min="6" max="6" width="31.71"/>
    <col customWidth="1" min="7" max="7" width="25.29"/>
    <col customWidth="1" min="8" max="8" width="35.29"/>
    <col customWidth="1" min="9" max="9" width="46.86"/>
    <col customWidth="1" min="10" max="10" width="34.0"/>
    <col customWidth="1" min="11" max="11" width="13.86"/>
    <col customWidth="1" min="12" max="12" width="21.57"/>
    <col customWidth="1" min="13" max="13" width="15.29"/>
    <col customWidth="1" min="14" max="14" width="62.71"/>
    <col customWidth="1" min="15" max="15" width="65.14"/>
    <col customWidth="1" hidden="1" min="16" max="17" width="80.57"/>
    <col customWidth="1" hidden="1" min="18" max="18" width="111.29"/>
    <col customWidth="1" min="19" max="19" width="50.86"/>
    <col customWidth="1" hidden="1" min="20" max="20" width="23.0"/>
    <col customWidth="1" hidden="1" min="21" max="21" width="26.71"/>
    <col customWidth="1" hidden="1" min="22" max="22" width="16.86"/>
    <col customWidth="1" min="23" max="23" width="50.71"/>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2" t="s">
        <v>16</v>
      </c>
      <c r="R1" s="3" t="s">
        <v>17</v>
      </c>
      <c r="S1" s="4" t="s">
        <v>18</v>
      </c>
      <c r="T1" s="2" t="s">
        <v>19</v>
      </c>
      <c r="U1" s="2" t="s">
        <v>20</v>
      </c>
      <c r="V1" s="2" t="s">
        <v>21</v>
      </c>
      <c r="W1" s="4" t="s">
        <v>22</v>
      </c>
      <c r="X1" s="1"/>
    </row>
    <row r="2">
      <c r="A2" s="5">
        <v>42037.90000011574</v>
      </c>
      <c r="B2" s="6" t="s">
        <v>23</v>
      </c>
      <c r="C2" s="7" t="s">
        <v>24</v>
      </c>
      <c r="D2" s="7" t="s">
        <v>25</v>
      </c>
      <c r="E2" s="7" t="s">
        <v>26</v>
      </c>
      <c r="F2" s="7" t="s">
        <v>27</v>
      </c>
      <c r="G2" s="7" t="s">
        <v>28</v>
      </c>
      <c r="H2" s="7" t="s">
        <v>29</v>
      </c>
      <c r="I2" s="7" t="s">
        <v>30</v>
      </c>
      <c r="J2" s="7" t="s">
        <v>31</v>
      </c>
      <c r="K2" s="7">
        <v>1.0</v>
      </c>
      <c r="L2" s="7">
        <v>0.0</v>
      </c>
      <c r="M2" s="7">
        <v>0.5</v>
      </c>
      <c r="N2" s="7" t="s">
        <v>32</v>
      </c>
      <c r="O2" s="7" t="s">
        <v>33</v>
      </c>
      <c r="P2" s="7" t="s">
        <v>34</v>
      </c>
      <c r="Q2" s="8" t="s">
        <v>35</v>
      </c>
      <c r="R2" s="9" t="str">
        <f>HYPERLINK("https://docs.google.com/open?id=0B5-iztf28QNJdDBUaGNvcF9Lb1k","Cross-Cutting and Enabling (CC) - Battaglia - NSTX-U breakdown scenario development")</f>
        <v>Cross-Cutting and Enabling (CC) - Battaglia - NSTX-U breakdown scenario development</v>
      </c>
      <c r="S2" s="10" t="s">
        <v>36</v>
      </c>
      <c r="T2" s="11" t="s">
        <v>37</v>
      </c>
      <c r="U2" s="8" t="s">
        <v>38</v>
      </c>
      <c r="V2" s="12" t="str">
        <f>HYPERLINK("https://docs.google.com/open?id=0B5-iztf28QNJVjZpQ1NxUjVoQkE","Cross-Cutting and Enabling (CC) - Battaglia - NSTX-U breakdown scenario development")</f>
        <v>Cross-Cutting and Enabling (CC) - Battaglia - NSTX-U breakdown scenario development</v>
      </c>
      <c r="W2" s="10" t="s">
        <v>40</v>
      </c>
      <c r="X2" s="13"/>
    </row>
    <row r="3" ht="11.25" customHeight="1">
      <c r="A3" s="5">
        <v>42039.224749652785</v>
      </c>
      <c r="B3" s="6" t="s">
        <v>41</v>
      </c>
      <c r="C3" s="7" t="s">
        <v>42</v>
      </c>
      <c r="D3" s="7" t="s">
        <v>43</v>
      </c>
      <c r="E3" s="7" t="s">
        <v>44</v>
      </c>
      <c r="F3" s="7" t="s">
        <v>45</v>
      </c>
      <c r="G3" s="7" t="s">
        <v>28</v>
      </c>
      <c r="H3" s="7" t="s">
        <v>29</v>
      </c>
      <c r="I3" s="7" t="s">
        <v>30</v>
      </c>
      <c r="J3" s="7" t="s">
        <v>47</v>
      </c>
      <c r="K3" s="7">
        <v>1.0</v>
      </c>
      <c r="L3" s="7">
        <v>0.0</v>
      </c>
      <c r="M3" s="7">
        <v>0.5</v>
      </c>
      <c r="N3" s="7" t="s">
        <v>49</v>
      </c>
      <c r="O3" s="7" t="s">
        <v>50</v>
      </c>
      <c r="P3" s="7" t="s">
        <v>51</v>
      </c>
      <c r="Q3" s="8" t="s">
        <v>52</v>
      </c>
      <c r="R3" s="9" t="str">
        <f>HYPERLINK("https://docs.google.com/open?id=0B5-iztf28QNJdXRMUGJJaDVVQjQ","Cross-Cutting and Enabling (CC) - Gerhardt - NSTX-U Automatic Shutdown")</f>
        <v>Cross-Cutting and Enabling (CC) - Gerhardt - NSTX-U Automatic Shutdown</v>
      </c>
      <c r="S3" s="10" t="s">
        <v>54</v>
      </c>
      <c r="T3" s="11" t="s">
        <v>55</v>
      </c>
      <c r="U3" s="8" t="s">
        <v>56</v>
      </c>
      <c r="V3" s="12" t="str">
        <f>HYPERLINK("https://docs.google.com/open?id=0B5-iztf28QNJTUh3dlhXT3dIaXc","Cross-Cutting and Enabling (CC) - Gerhardt - NSTX-U Automatic Shutdown")</f>
        <v>Cross-Cutting and Enabling (CC) - Gerhardt - NSTX-U Automatic Shutdown</v>
      </c>
      <c r="W3" s="10" t="s">
        <v>57</v>
      </c>
      <c r="X3" s="13"/>
    </row>
    <row r="4" ht="21.75" customHeight="1">
      <c r="A4" s="5">
        <v>42039.23154462963</v>
      </c>
      <c r="B4" s="6" t="s">
        <v>58</v>
      </c>
      <c r="C4" s="7" t="s">
        <v>42</v>
      </c>
      <c r="D4" s="7" t="s">
        <v>43</v>
      </c>
      <c r="E4" s="7" t="s">
        <v>44</v>
      </c>
      <c r="F4" s="7" t="s">
        <v>59</v>
      </c>
      <c r="G4" s="7" t="s">
        <v>28</v>
      </c>
      <c r="H4" s="7" t="s">
        <v>29</v>
      </c>
      <c r="I4" s="7" t="s">
        <v>60</v>
      </c>
      <c r="J4" s="7" t="s">
        <v>61</v>
      </c>
      <c r="K4" s="7">
        <v>2.0</v>
      </c>
      <c r="L4" s="7">
        <v>1.0</v>
      </c>
      <c r="M4" s="7">
        <v>1.0</v>
      </c>
      <c r="N4" s="7" t="s">
        <v>62</v>
      </c>
      <c r="O4" s="7" t="s">
        <v>63</v>
      </c>
      <c r="P4" s="7" t="s">
        <v>64</v>
      </c>
      <c r="Q4" s="8" t="s">
        <v>65</v>
      </c>
      <c r="R4" s="9" t="str">
        <f>HYPERLINK("https://docs.google.com/open?id=0B5-iztf28QNJaURIZUlZZnJhMEk","Advanced Scenarios and Control (ASC) - Gerhardt - Maximizing the non-inductive current fraction in NSTX-U H-modes")</f>
        <v>Advanced Scenarios and Control (ASC) - Gerhardt - Maximizing the non-inductive current fraction in NSTX-U H-modes</v>
      </c>
      <c r="S4" s="10" t="s">
        <v>66</v>
      </c>
      <c r="T4" s="11" t="s">
        <v>67</v>
      </c>
      <c r="U4" s="8" t="s">
        <v>68</v>
      </c>
      <c r="V4" s="12" t="str">
        <f>HYPERLINK("https://docs.google.com/open?id=0B5-iztf28QNJRW42dy1OU2RMaE0","Advanced Scenarios and Control (ASC) - Gerhardt - Maximizing the non-inductive current fraction in NSTX-U H-modes")</f>
        <v>Advanced Scenarios and Control (ASC) - Gerhardt - Maximizing the non-inductive current fraction in NSTX-U H-modes</v>
      </c>
      <c r="W4" s="10" t="s">
        <v>69</v>
      </c>
      <c r="X4" s="14"/>
    </row>
    <row r="5">
      <c r="A5" s="5">
        <v>42039.75769873843</v>
      </c>
      <c r="B5" s="6" t="s">
        <v>71</v>
      </c>
      <c r="C5" s="7" t="s">
        <v>72</v>
      </c>
      <c r="D5" s="7" t="s">
        <v>73</v>
      </c>
      <c r="E5" s="7" t="s">
        <v>75</v>
      </c>
      <c r="F5" s="7" t="s">
        <v>78</v>
      </c>
      <c r="G5" s="7" t="s">
        <v>28</v>
      </c>
      <c r="H5" s="7" t="s">
        <v>83</v>
      </c>
      <c r="I5" s="7" t="s">
        <v>30</v>
      </c>
      <c r="J5" s="7" t="s">
        <v>88</v>
      </c>
      <c r="K5" s="7">
        <v>1.0</v>
      </c>
      <c r="L5" s="7">
        <v>0.0</v>
      </c>
      <c r="M5" s="7">
        <v>1.0</v>
      </c>
      <c r="N5" s="7" t="s">
        <v>95</v>
      </c>
      <c r="O5" s="7" t="s">
        <v>99</v>
      </c>
      <c r="P5" s="7" t="s">
        <v>100</v>
      </c>
      <c r="Q5" s="8" t="s">
        <v>102</v>
      </c>
      <c r="R5" s="9" t="str">
        <f>HYPERLINK("https://docs.google.com/open?id=0B5-iztf28QNJMDZtamJaenlteUU","Cross-Cutting and Enabling (CC) - Levinton - MSE-CIF Calibration")</f>
        <v>Cross-Cutting and Enabling (CC) - Levinton - MSE-CIF Calibration</v>
      </c>
      <c r="S5" s="10" t="s">
        <v>112</v>
      </c>
      <c r="T5" s="11" t="s">
        <v>113</v>
      </c>
      <c r="U5" s="8" t="s">
        <v>114</v>
      </c>
      <c r="V5" s="12" t="str">
        <f>HYPERLINK("https://docs.google.com/open?id=0B5-iztf28QNJUjJ5MEl0Rl9NSDQ","Cross-Cutting and Enabling (CC) - Levinton - MSE-CIF Calibration")</f>
        <v>Cross-Cutting and Enabling (CC) - Levinton - MSE-CIF Calibration</v>
      </c>
      <c r="W5" s="10" t="s">
        <v>115</v>
      </c>
      <c r="X5" s="14"/>
    </row>
    <row r="6">
      <c r="A6" s="5">
        <v>42039.4711662037</v>
      </c>
      <c r="B6" s="6" t="s">
        <v>116</v>
      </c>
      <c r="C6" s="7" t="s">
        <v>117</v>
      </c>
      <c r="D6" s="7" t="s">
        <v>118</v>
      </c>
      <c r="E6" s="7" t="s">
        <v>119</v>
      </c>
      <c r="F6" s="7" t="s">
        <v>120</v>
      </c>
      <c r="G6" s="7" t="s">
        <v>28</v>
      </c>
      <c r="H6" s="7" t="s">
        <v>121</v>
      </c>
      <c r="I6" s="7" t="s">
        <v>30</v>
      </c>
      <c r="J6" s="7" t="s">
        <v>122</v>
      </c>
      <c r="K6" s="7">
        <v>1.0</v>
      </c>
      <c r="L6" s="7">
        <v>0.0</v>
      </c>
      <c r="M6" s="7">
        <v>1.0</v>
      </c>
      <c r="N6" s="7" t="s">
        <v>123</v>
      </c>
      <c r="O6" s="7" t="s">
        <v>124</v>
      </c>
      <c r="P6" s="7" t="s">
        <v>125</v>
      </c>
      <c r="Q6" s="8" t="s">
        <v>126</v>
      </c>
      <c r="R6" s="9" t="str">
        <f>HYPERLINK("https://docs.google.com/open?id=0B5-iztf28QNJT1F4WmtuQ1pJNU0","Cross-Cutting and Enabling (CC) - Raman - Commissioning the MGI Valves")</f>
        <v>Cross-Cutting and Enabling (CC) - Raman - Commissioning the MGI Valves</v>
      </c>
      <c r="S6" s="10" t="s">
        <v>127</v>
      </c>
      <c r="T6" s="11" t="s">
        <v>128</v>
      </c>
      <c r="U6" s="8" t="s">
        <v>129</v>
      </c>
      <c r="V6" s="12" t="str">
        <f>HYPERLINK("https://docs.google.com/open?id=0B5-iztf28QNJZU1ydG9wRVF2VU0","Cross-Cutting and Enabling (CC) - Raman - Commissioning the MGI Valves")</f>
        <v>Cross-Cutting and Enabling (CC) - Raman - Commissioning the MGI Valves</v>
      </c>
      <c r="W6" s="10" t="s">
        <v>130</v>
      </c>
      <c r="X6" s="14"/>
    </row>
    <row r="7">
      <c r="A7" s="5">
        <v>42039.47282653935</v>
      </c>
      <c r="B7" s="6" t="s">
        <v>131</v>
      </c>
      <c r="C7" s="7" t="s">
        <v>132</v>
      </c>
      <c r="D7" s="7" t="s">
        <v>73</v>
      </c>
      <c r="E7" s="7" t="s">
        <v>75</v>
      </c>
      <c r="F7" s="7" t="s">
        <v>133</v>
      </c>
      <c r="G7" s="7" t="s">
        <v>28</v>
      </c>
      <c r="H7" s="7" t="s">
        <v>83</v>
      </c>
      <c r="I7" s="7" t="s">
        <v>30</v>
      </c>
      <c r="J7" s="7" t="s">
        <v>88</v>
      </c>
      <c r="K7" s="7">
        <v>1.0</v>
      </c>
      <c r="L7" s="7">
        <v>0.0</v>
      </c>
      <c r="M7" s="7">
        <v>1.0</v>
      </c>
      <c r="N7" s="7" t="s">
        <v>134</v>
      </c>
      <c r="O7" s="7" t="s">
        <v>135</v>
      </c>
      <c r="P7" s="7" t="s">
        <v>136</v>
      </c>
      <c r="Q7" s="8" t="s">
        <v>137</v>
      </c>
      <c r="R7" s="9" t="str">
        <f>HYPERLINK("https://docs.google.com/open?id=0B5-iztf28QNJbTlqOHplaWp2R3M","Cross-Cutting and Enabling (CC) - Levinton - MSE-LIF Calibration")</f>
        <v>Cross-Cutting and Enabling (CC) - Levinton - MSE-LIF Calibration</v>
      </c>
      <c r="S7" s="10" t="s">
        <v>138</v>
      </c>
      <c r="T7" s="11" t="s">
        <v>139</v>
      </c>
      <c r="U7" s="8" t="s">
        <v>140</v>
      </c>
      <c r="V7" s="12" t="str">
        <f>HYPERLINK("https://docs.google.com/open?id=0B5-iztf28QNJNm1uTWJoN2ZFZjg","Cross-Cutting and Enabling (CC) - Levinton - MSE-LIF Calibration")</f>
        <v>Cross-Cutting and Enabling (CC) - Levinton - MSE-LIF Calibration</v>
      </c>
      <c r="W7" s="10" t="s">
        <v>141</v>
      </c>
      <c r="X7" s="14"/>
    </row>
    <row r="8">
      <c r="A8" s="5">
        <v>42039.477969548614</v>
      </c>
      <c r="B8" s="6" t="s">
        <v>142</v>
      </c>
      <c r="C8" s="7" t="s">
        <v>117</v>
      </c>
      <c r="D8" s="7" t="s">
        <v>118</v>
      </c>
      <c r="E8" s="7" t="s">
        <v>119</v>
      </c>
      <c r="F8" s="7" t="s">
        <v>143</v>
      </c>
      <c r="G8" s="7" t="s">
        <v>28</v>
      </c>
      <c r="H8" s="7" t="s">
        <v>121</v>
      </c>
      <c r="I8" s="7" t="s">
        <v>30</v>
      </c>
      <c r="J8" s="7" t="s">
        <v>144</v>
      </c>
      <c r="K8" s="7">
        <v>1.0</v>
      </c>
      <c r="L8" s="7">
        <v>1.0</v>
      </c>
      <c r="M8" s="7">
        <v>1.0</v>
      </c>
      <c r="N8" s="7" t="s">
        <v>145</v>
      </c>
      <c r="O8" s="7" t="s">
        <v>146</v>
      </c>
      <c r="P8" s="7" t="s">
        <v>147</v>
      </c>
      <c r="Q8" s="8" t="s">
        <v>148</v>
      </c>
      <c r="R8" s="9" t="str">
        <f>HYPERLINK("https://docs.google.com/open?id=0B5-iztf28QNJWEhqX2liZF8xa00","Cross-Cutting and Enabling (CC) - Raman - Commissioning the CHI System")</f>
        <v>Cross-Cutting and Enabling (CC) - Raman - Commissioning the CHI System</v>
      </c>
      <c r="S8" s="10" t="s">
        <v>149</v>
      </c>
      <c r="T8" s="11" t="s">
        <v>150</v>
      </c>
      <c r="U8" s="8" t="s">
        <v>151</v>
      </c>
      <c r="V8" s="12" t="str">
        <f>HYPERLINK("https://docs.google.com/open?id=0B5-iztf28QNJanEzbml6WVJEcDQ","Cross-Cutting and Enabling (CC) - Raman - Commissioning the CHI System")</f>
        <v>Cross-Cutting and Enabling (CC) - Raman - Commissioning the CHI System</v>
      </c>
      <c r="W8" s="10" t="s">
        <v>152</v>
      </c>
      <c r="X8" s="14"/>
    </row>
    <row r="9">
      <c r="A9" s="5">
        <v>42041.89463780093</v>
      </c>
      <c r="B9" s="6" t="s">
        <v>153</v>
      </c>
      <c r="C9" s="7" t="s">
        <v>132</v>
      </c>
      <c r="D9" s="7" t="s">
        <v>73</v>
      </c>
      <c r="E9" s="7" t="s">
        <v>75</v>
      </c>
      <c r="F9" s="7" t="s">
        <v>133</v>
      </c>
      <c r="G9" s="7" t="s">
        <v>28</v>
      </c>
      <c r="H9" s="7" t="s">
        <v>83</v>
      </c>
      <c r="I9" s="7" t="s">
        <v>154</v>
      </c>
      <c r="J9" s="7" t="s">
        <v>88</v>
      </c>
      <c r="K9" s="7">
        <v>1.0</v>
      </c>
      <c r="L9" s="7">
        <v>0.0</v>
      </c>
      <c r="M9" s="7">
        <v>1.0</v>
      </c>
      <c r="N9" s="7" t="s">
        <v>155</v>
      </c>
      <c r="O9" s="7" t="s">
        <v>156</v>
      </c>
      <c r="P9" s="7" t="s">
        <v>157</v>
      </c>
      <c r="Q9" s="8" t="s">
        <v>158</v>
      </c>
      <c r="R9" s="9" t="str">
        <f>HYPERLINK("https://docs.google.com/open?id=0B5-iztf28QNJUHdoNVVCcUNwWEU","Cross-cutting and Enabling (CC) - Levinton - MSE Measurement of NB Interference")</f>
        <v>Cross-cutting and Enabling (CC) - Levinton - MSE Measurement of NB Interference</v>
      </c>
      <c r="S9" s="10" t="s">
        <v>159</v>
      </c>
      <c r="T9" s="11" t="s">
        <v>160</v>
      </c>
      <c r="U9" s="8" t="s">
        <v>161</v>
      </c>
      <c r="V9" s="12" t="str">
        <f>HYPERLINK("https://docs.google.com/open?id=0B5-iztf28QNJR0tsbzlZMzB1Z2s","Cross-cutting and Enabling (CC) - Levinton - MSE Measurement of NB Interference")</f>
        <v>Cross-cutting and Enabling (CC) - Levinton - MSE Measurement of NB Interference</v>
      </c>
      <c r="W9" s="10" t="s">
        <v>162</v>
      </c>
      <c r="X9" s="14"/>
    </row>
    <row r="10">
      <c r="A10" s="5">
        <v>42048.779592743056</v>
      </c>
      <c r="B10" s="6" t="s">
        <v>163</v>
      </c>
      <c r="C10" s="7" t="s">
        <v>164</v>
      </c>
      <c r="D10" s="7" t="s">
        <v>165</v>
      </c>
      <c r="E10" s="7" t="s">
        <v>166</v>
      </c>
      <c r="F10" s="7" t="s">
        <v>167</v>
      </c>
      <c r="G10" s="7" t="s">
        <v>28</v>
      </c>
      <c r="H10" s="7" t="s">
        <v>168</v>
      </c>
      <c r="I10" s="7" t="s">
        <v>169</v>
      </c>
      <c r="J10" s="7" t="s">
        <v>31</v>
      </c>
      <c r="K10" s="7">
        <v>1.0</v>
      </c>
      <c r="L10" s="7">
        <v>0.0</v>
      </c>
      <c r="M10" s="7">
        <v>0.5</v>
      </c>
      <c r="N10" s="7" t="s">
        <v>170</v>
      </c>
      <c r="O10" s="7" t="s">
        <v>171</v>
      </c>
      <c r="P10" s="7" t="s">
        <v>172</v>
      </c>
      <c r="Q10" s="8" t="s">
        <v>173</v>
      </c>
      <c r="R10" s="9" t="str">
        <f>HYPERLINK("https://docs.google.com/open?id=0B5-iztf28QNJSjlLclZYd1JZNXM","Macroscopic Stability (MS) - La Haye - Make contact with NSTX for n=1 tearing mode stability")</f>
        <v>Macroscopic Stability (MS) - La Haye - Make contact with NSTX for n=1 tearing mode stability</v>
      </c>
      <c r="S10" s="10" t="s">
        <v>174</v>
      </c>
      <c r="T10" s="11" t="s">
        <v>175</v>
      </c>
      <c r="U10" s="8" t="s">
        <v>176</v>
      </c>
      <c r="V10" s="12" t="str">
        <f>HYPERLINK("https://docs.google.com/open?id=0B5-iztf28QNJSnV0RUN1dk1JUVk","Macroscopic Stability (MS) - La Haye - Make contact with NSTX for n=1 tearing mode stability")</f>
        <v>Macroscopic Stability (MS) - La Haye - Make contact with NSTX for n=1 tearing mode stability</v>
      </c>
      <c r="W10" s="10" t="s">
        <v>177</v>
      </c>
      <c r="X10" s="14"/>
    </row>
    <row r="11">
      <c r="A11" s="5">
        <v>42039.552396226856</v>
      </c>
      <c r="B11" s="6" t="s">
        <v>178</v>
      </c>
      <c r="C11" s="7" t="s">
        <v>179</v>
      </c>
      <c r="D11" s="7" t="s">
        <v>180</v>
      </c>
      <c r="E11" s="7" t="s">
        <v>181</v>
      </c>
      <c r="F11" s="7" t="s">
        <v>182</v>
      </c>
      <c r="G11" s="7" t="s">
        <v>28</v>
      </c>
      <c r="H11" s="7" t="s">
        <v>29</v>
      </c>
      <c r="I11" s="7" t="s">
        <v>30</v>
      </c>
      <c r="J11" s="7" t="s">
        <v>31</v>
      </c>
      <c r="K11" s="7">
        <v>1.5</v>
      </c>
      <c r="L11" s="7">
        <v>0.0</v>
      </c>
      <c r="M11" s="7">
        <v>1.5</v>
      </c>
      <c r="N11" s="7" t="s">
        <v>183</v>
      </c>
      <c r="O11" s="7" t="s">
        <v>184</v>
      </c>
      <c r="P11" s="7" t="s">
        <v>185</v>
      </c>
      <c r="Q11" s="8" t="s">
        <v>186</v>
      </c>
      <c r="R11" s="9" t="str">
        <f>HYPERLINK("https://docs.google.com/open?id=0B5-iztf28QNJZGNEUENybG5mWkU","Cross-Cutting and Enabling (CC) - Myers - Magnetics Calibration")</f>
        <v>Cross-Cutting and Enabling (CC) - Myers - Magnetics Calibration</v>
      </c>
      <c r="S11" s="10" t="s">
        <v>187</v>
      </c>
      <c r="T11" s="11" t="s">
        <v>188</v>
      </c>
      <c r="U11" s="8" t="s">
        <v>189</v>
      </c>
      <c r="V11" s="12" t="str">
        <f>HYPERLINK("https://docs.google.com/open?id=0B5-iztf28QNJbk1YeXZBQmdoVGs","Cross-Cutting and Enabling (CC) - Myers - Magnetics Calibration")</f>
        <v>Cross-Cutting and Enabling (CC) - Myers - Magnetics Calibration</v>
      </c>
      <c r="W11" s="10" t="s">
        <v>190</v>
      </c>
      <c r="X11" s="14"/>
    </row>
    <row r="12">
      <c r="A12" s="5">
        <v>42039.71340818287</v>
      </c>
      <c r="B12" s="6" t="s">
        <v>191</v>
      </c>
      <c r="C12" s="7" t="s">
        <v>192</v>
      </c>
      <c r="D12" s="7" t="s">
        <v>193</v>
      </c>
      <c r="E12" s="7" t="s">
        <v>194</v>
      </c>
      <c r="F12" s="7" t="s">
        <v>195</v>
      </c>
      <c r="G12" s="7" t="s">
        <v>28</v>
      </c>
      <c r="H12" s="7" t="s">
        <v>29</v>
      </c>
      <c r="I12" s="7" t="s">
        <v>30</v>
      </c>
      <c r="J12" s="7" t="s">
        <v>47</v>
      </c>
      <c r="K12" s="7">
        <v>0.35</v>
      </c>
      <c r="L12" s="7">
        <v>0.35</v>
      </c>
      <c r="M12" s="7">
        <v>0.35</v>
      </c>
      <c r="N12" s="7" t="s">
        <v>196</v>
      </c>
      <c r="O12" s="7" t="s">
        <v>197</v>
      </c>
      <c r="P12" s="7" t="s">
        <v>198</v>
      </c>
      <c r="Q12" s="8" t="s">
        <v>199</v>
      </c>
      <c r="R12" s="9" t="str">
        <f>HYPERLINK("https://docs.google.com/open?id=0B5-iztf28QNJRnd5NEFTVHA1U3M","Cross-Cutting and Enabling (CC) - LeBlanc - Commissioning the Thomson Scattering System ")</f>
        <v>Cross-Cutting and Enabling (CC) - LeBlanc - Commissioning the Thomson Scattering System </v>
      </c>
      <c r="S12" s="10" t="s">
        <v>200</v>
      </c>
      <c r="T12" s="11" t="s">
        <v>201</v>
      </c>
      <c r="U12" s="8" t="s">
        <v>202</v>
      </c>
      <c r="V12" s="12" t="str">
        <f>HYPERLINK("https://docs.google.com/open?id=0B5-iztf28QNJUkpoRlBxWi1TZnM","Cross-Cutting and Enabling (CC) - LeBlanc - Commissioning the Thomson Scattering System ")</f>
        <v>Cross-Cutting and Enabling (CC) - LeBlanc - Commissioning the Thomson Scattering System </v>
      </c>
      <c r="W12" s="10" t="s">
        <v>203</v>
      </c>
      <c r="X12" s="14"/>
    </row>
    <row r="13">
      <c r="A13" s="5">
        <v>42040.45693912036</v>
      </c>
      <c r="B13" s="6" t="s">
        <v>204</v>
      </c>
      <c r="C13" s="7" t="s">
        <v>205</v>
      </c>
      <c r="D13" s="7" t="s">
        <v>206</v>
      </c>
      <c r="E13" s="7" t="s">
        <v>207</v>
      </c>
      <c r="F13" s="7" t="s">
        <v>208</v>
      </c>
      <c r="G13" s="7" t="s">
        <v>28</v>
      </c>
      <c r="H13" s="7" t="s">
        <v>29</v>
      </c>
      <c r="I13" s="7" t="s">
        <v>30</v>
      </c>
      <c r="J13" s="7" t="s">
        <v>209</v>
      </c>
      <c r="K13" s="7">
        <v>3.0</v>
      </c>
      <c r="L13" s="7">
        <v>2.0</v>
      </c>
      <c r="M13" s="7">
        <v>2.0</v>
      </c>
      <c r="N13" s="7" t="s">
        <v>210</v>
      </c>
      <c r="O13" s="7" t="s">
        <v>211</v>
      </c>
      <c r="P13" s="7" t="s">
        <v>212</v>
      </c>
      <c r="Q13" s="8" t="s">
        <v>213</v>
      </c>
      <c r="R13" s="9" t="str">
        <f>HYPERLINK("https://docs.google.com/open?id=0B5-iztf28QNJM2E5a0ROSU5HejQ","Cross-Cutting and Enabling (CC) - Perkins - HHFW antenna conditioning and performance evaluation")</f>
        <v>Cross-Cutting and Enabling (CC) - Perkins - HHFW antenna conditioning and performance evaluation</v>
      </c>
      <c r="S13" s="10" t="s">
        <v>214</v>
      </c>
      <c r="T13" s="11" t="s">
        <v>215</v>
      </c>
      <c r="U13" s="8" t="s">
        <v>216</v>
      </c>
      <c r="V13" s="12" t="str">
        <f>HYPERLINK("https://docs.google.com/open?id=0B5-iztf28QNJcTE3enRtUVFZRzA","Cross-Cutting and Enabling (CC) - Perkins - HHFW antenna conditioning and performance evaluation")</f>
        <v>Cross-Cutting and Enabling (CC) - Perkins - HHFW antenna conditioning and performance evaluation</v>
      </c>
      <c r="W13" s="10" t="s">
        <v>217</v>
      </c>
      <c r="X13" s="14"/>
    </row>
    <row r="14">
      <c r="A14" s="5">
        <v>42040.69128115741</v>
      </c>
      <c r="B14" s="6" t="s">
        <v>218</v>
      </c>
      <c r="C14" s="7" t="s">
        <v>219</v>
      </c>
      <c r="D14" s="7" t="s">
        <v>220</v>
      </c>
      <c r="E14" s="7" t="s">
        <v>221</v>
      </c>
      <c r="F14" s="7" t="s">
        <v>47</v>
      </c>
      <c r="G14" s="7" t="s">
        <v>28</v>
      </c>
      <c r="H14" s="7" t="s">
        <v>29</v>
      </c>
      <c r="I14" s="7" t="s">
        <v>30</v>
      </c>
      <c r="J14" s="7" t="s">
        <v>47</v>
      </c>
      <c r="K14" s="7">
        <v>0.5</v>
      </c>
      <c r="L14" s="7">
        <v>0.5</v>
      </c>
      <c r="M14" s="7">
        <v>0.25</v>
      </c>
      <c r="N14" s="7" t="s">
        <v>222</v>
      </c>
      <c r="O14" s="7" t="s">
        <v>223</v>
      </c>
      <c r="P14" s="7" t="s">
        <v>224</v>
      </c>
      <c r="Q14" s="8" t="s">
        <v>225</v>
      </c>
      <c r="R14" s="9" t="str">
        <f>HYPERLINK("https://docs.google.com/open?id=0B5-iztf28QNJSGM1U0tSdlRwYTg","Cross-Cutting and Enabling (CC) - Darrow - Neutron diagnostic calibration plasmas (XMP)")</f>
        <v>Cross-Cutting and Enabling (CC) - Darrow - Neutron diagnostic calibration plasmas (XMP)</v>
      </c>
      <c r="S14" s="10" t="s">
        <v>226</v>
      </c>
      <c r="T14" s="11" t="s">
        <v>227</v>
      </c>
      <c r="U14" s="8" t="s">
        <v>228</v>
      </c>
      <c r="V14" s="12" t="str">
        <f>HYPERLINK("https://docs.google.com/open?id=0B5-iztf28QNJWk9sU0dvX2JWX00","Cross-Cutting and Enabling (CC) - Darrow - Neutron diagnostic calibration plasmas (XMP)")</f>
        <v>Cross-Cutting and Enabling (CC) - Darrow - Neutron diagnostic calibration plasmas (XMP)</v>
      </c>
      <c r="W14" s="10" t="s">
        <v>229</v>
      </c>
      <c r="X14" s="14"/>
    </row>
    <row r="15">
      <c r="A15" s="5">
        <v>42040.74829085648</v>
      </c>
      <c r="B15" s="6" t="s">
        <v>230</v>
      </c>
      <c r="C15" s="7" t="s">
        <v>231</v>
      </c>
      <c r="D15" s="7" t="s">
        <v>232</v>
      </c>
      <c r="E15" s="7" t="s">
        <v>233</v>
      </c>
      <c r="F15" s="7" t="s">
        <v>234</v>
      </c>
      <c r="G15" s="7" t="s">
        <v>28</v>
      </c>
      <c r="H15" s="7" t="s">
        <v>29</v>
      </c>
      <c r="I15" s="7" t="s">
        <v>235</v>
      </c>
      <c r="J15" s="7" t="s">
        <v>236</v>
      </c>
      <c r="K15" s="7">
        <v>1.5</v>
      </c>
      <c r="L15" s="7">
        <v>1.5</v>
      </c>
      <c r="M15" s="7">
        <v>1.5</v>
      </c>
      <c r="N15" s="7" t="s">
        <v>237</v>
      </c>
      <c r="O15" s="7" t="s">
        <v>238</v>
      </c>
      <c r="P15" s="7" t="s">
        <v>239</v>
      </c>
      <c r="Q15" s="8" t="s">
        <v>240</v>
      </c>
      <c r="R15" s="16" t="str">
        <f>HYPERLINK("https://docs.google.com/open?id=0B5-iztf28QNJTmVDeVhjUzMtQ3M","Pedestal Structure and Control (PS) - Diallo - Characterization of the Pedestal Structure as function Ip, BT, and Pnbi")</f>
        <v>Pedestal Structure and Control (PS) - Diallo - Characterization of the Pedestal Structure as function Ip, BT, and Pnbi</v>
      </c>
      <c r="S15" s="10" t="s">
        <v>241</v>
      </c>
      <c r="T15" s="11" t="s">
        <v>242</v>
      </c>
      <c r="U15" s="8" t="s">
        <v>243</v>
      </c>
      <c r="V15" s="12" t="str">
        <f>HYPERLINK("https://docs.google.com/open?id=0B5-iztf28QNJbll2OFpxbXJsMTg","Pedestal Structure and Control (PS) - Diallo - Characterization of the Pedestal Structure as function Ip, BT, and Pnbi")</f>
        <v>Pedestal Structure and Control (PS) - Diallo - Characterization of the Pedestal Structure as function Ip, BT, and Pnbi</v>
      </c>
      <c r="W15" s="10" t="s">
        <v>244</v>
      </c>
      <c r="X15" s="14"/>
    </row>
    <row r="16">
      <c r="A16" s="5">
        <v>42041.395848472224</v>
      </c>
      <c r="B16" s="6" t="s">
        <v>245</v>
      </c>
      <c r="C16" s="7" t="s">
        <v>42</v>
      </c>
      <c r="D16" s="7" t="s">
        <v>43</v>
      </c>
      <c r="E16" s="7" t="s">
        <v>44</v>
      </c>
      <c r="F16" s="7" t="s">
        <v>246</v>
      </c>
      <c r="G16" s="7" t="s">
        <v>28</v>
      </c>
      <c r="H16" s="7" t="s">
        <v>29</v>
      </c>
      <c r="I16" s="7" t="s">
        <v>30</v>
      </c>
      <c r="J16" s="7" t="s">
        <v>47</v>
      </c>
      <c r="K16" s="7">
        <v>0.75</v>
      </c>
      <c r="L16" s="7">
        <v>0.75</v>
      </c>
      <c r="M16" s="7">
        <v>0.5</v>
      </c>
      <c r="N16" s="7" t="s">
        <v>247</v>
      </c>
      <c r="O16" s="7" t="s">
        <v>248</v>
      </c>
      <c r="P16" s="7" t="s">
        <v>249</v>
      </c>
      <c r="Q16" s="8" t="s">
        <v>250</v>
      </c>
      <c r="R16" s="16" t="str">
        <f>HYPERLINK("https://docs.google.com/open?id=0B5-iztf28QNJeExnMHVrS21EQUU","Cross-Cutting and Enabling (CC) - Gerhardt - 6 SPA and Proportional RWM control Checkout")</f>
        <v>Cross-Cutting and Enabling (CC) - Gerhardt - 6 SPA and Proportional RWM control Checkout</v>
      </c>
      <c r="S16" s="10" t="s">
        <v>251</v>
      </c>
      <c r="T16" s="11" t="s">
        <v>252</v>
      </c>
      <c r="U16" s="8" t="s">
        <v>253</v>
      </c>
      <c r="V16" s="12" t="str">
        <f>HYPERLINK("https://docs.google.com/open?id=0B5-iztf28QNJcy1NTkc2N3F3YkE","Cross-Cutting and Enabling (CC) - Gerhardt - 6 SPA and Proportional RWM control Checkout")</f>
        <v>Cross-Cutting and Enabling (CC) - Gerhardt - 6 SPA and Proportional RWM control Checkout</v>
      </c>
      <c r="W16" s="10" t="s">
        <v>254</v>
      </c>
      <c r="X16" s="14"/>
    </row>
    <row r="17">
      <c r="A17" s="5">
        <v>42041.40798305556</v>
      </c>
      <c r="B17" s="6" t="s">
        <v>255</v>
      </c>
      <c r="C17" s="7" t="s">
        <v>42</v>
      </c>
      <c r="D17" s="7" t="s">
        <v>43</v>
      </c>
      <c r="E17" s="7" t="s">
        <v>44</v>
      </c>
      <c r="F17" s="7" t="s">
        <v>256</v>
      </c>
      <c r="G17" s="7" t="s">
        <v>28</v>
      </c>
      <c r="H17" s="7" t="s">
        <v>29</v>
      </c>
      <c r="I17" s="7" t="s">
        <v>30</v>
      </c>
      <c r="J17" s="7" t="s">
        <v>47</v>
      </c>
      <c r="K17" s="7">
        <v>0.5</v>
      </c>
      <c r="L17" s="7">
        <v>0.5</v>
      </c>
      <c r="M17" s="7">
        <v>0.5</v>
      </c>
      <c r="N17" s="7" t="s">
        <v>257</v>
      </c>
      <c r="O17" s="7" t="s">
        <v>258</v>
      </c>
      <c r="P17" s="7" t="s">
        <v>259</v>
      </c>
      <c r="Q17" s="8" t="s">
        <v>260</v>
      </c>
      <c r="R17" s="16" t="str">
        <f>HYPERLINK("https://docs.google.com/open?id=0B5-iztf28QNJa2pfaFhUVG1VWlk","Cross-Cutting and Enabling (CC) - Gerhardt - Software Test fon n=0 Control")</f>
        <v>Cross-Cutting and Enabling (CC) - Gerhardt - Software Test fon n=0 Control</v>
      </c>
      <c r="S17" s="10" t="s">
        <v>261</v>
      </c>
      <c r="T17" s="11" t="s">
        <v>262</v>
      </c>
      <c r="U17" s="8" t="s">
        <v>263</v>
      </c>
      <c r="V17" s="12" t="str">
        <f>HYPERLINK("https://docs.google.com/open?id=0B5-iztf28QNJalhXYzdhd2xmRXM","Cross-Cutting and Enabling (CC) - Gerhardt - Software Test fon n=0 Control")</f>
        <v>Cross-Cutting and Enabling (CC) - Gerhardt - Software Test fon n=0 Control</v>
      </c>
      <c r="W17" s="10" t="s">
        <v>264</v>
      </c>
      <c r="X17" s="14"/>
    </row>
    <row r="18">
      <c r="A18" s="5">
        <v>42041.413959942125</v>
      </c>
      <c r="B18" s="6" t="s">
        <v>265</v>
      </c>
      <c r="C18" s="7" t="s">
        <v>266</v>
      </c>
      <c r="D18" s="7" t="s">
        <v>267</v>
      </c>
      <c r="E18" s="7" t="s">
        <v>268</v>
      </c>
      <c r="F18" s="7" t="s">
        <v>269</v>
      </c>
      <c r="G18" s="7" t="s">
        <v>270</v>
      </c>
      <c r="H18" s="7" t="s">
        <v>271</v>
      </c>
      <c r="I18" s="7" t="s">
        <v>30</v>
      </c>
      <c r="J18" s="7" t="s">
        <v>272</v>
      </c>
      <c r="K18" s="7">
        <v>1.0</v>
      </c>
      <c r="L18" s="7">
        <v>1.0</v>
      </c>
      <c r="M18" s="7">
        <v>1.0</v>
      </c>
      <c r="N18" s="7" t="s">
        <v>273</v>
      </c>
      <c r="O18" s="7" t="s">
        <v>274</v>
      </c>
      <c r="P18" s="7" t="s">
        <v>275</v>
      </c>
      <c r="Q18" s="8" t="s">
        <v>276</v>
      </c>
      <c r="R18" s="16" t="str">
        <f>HYPERLINK("https://docs.google.com/open?id=0B5-iztf28QNJQ0Y2aE84Q2FCR3M","Cross-Cutting and Enabling (CC) - Liu - FIDA/ssNPA/sFLIP checkout")</f>
        <v>Cross-Cutting and Enabling (CC) - Liu - FIDA/ssNPA/sFLIP checkout</v>
      </c>
      <c r="S18" s="10" t="s">
        <v>277</v>
      </c>
      <c r="T18" s="11" t="s">
        <v>278</v>
      </c>
      <c r="U18" s="8" t="s">
        <v>279</v>
      </c>
      <c r="V18" s="12" t="str">
        <f>HYPERLINK("https://docs.google.com/open?id=0B5-iztf28QNJMk9kLWtHRFdWdnc","Cross-Cutting and Enabling (CC) - Liu - FIDA/ssNPA/sFLIP checkout")</f>
        <v>Cross-Cutting and Enabling (CC) - Liu - FIDA/ssNPA/sFLIP checkout</v>
      </c>
      <c r="W18" s="10" t="s">
        <v>280</v>
      </c>
      <c r="X18" s="14"/>
    </row>
    <row r="19">
      <c r="A19" s="5">
        <v>42041.420894745366</v>
      </c>
      <c r="B19" s="6" t="s">
        <v>281</v>
      </c>
      <c r="C19" s="7" t="s">
        <v>282</v>
      </c>
      <c r="D19" s="7" t="s">
        <v>283</v>
      </c>
      <c r="E19" s="7" t="s">
        <v>284</v>
      </c>
      <c r="F19" s="7" t="s">
        <v>285</v>
      </c>
      <c r="G19" s="7" t="s">
        <v>28</v>
      </c>
      <c r="H19" s="7" t="s">
        <v>29</v>
      </c>
      <c r="I19" s="7" t="s">
        <v>30</v>
      </c>
      <c r="J19" s="7" t="s">
        <v>286</v>
      </c>
      <c r="K19" s="7">
        <v>2.0</v>
      </c>
      <c r="L19" s="7">
        <v>0.0</v>
      </c>
      <c r="M19" s="7">
        <v>1.0</v>
      </c>
      <c r="N19" s="7" t="s">
        <v>287</v>
      </c>
      <c r="O19" s="7" t="s">
        <v>288</v>
      </c>
      <c r="P19" s="7" t="s">
        <v>289</v>
      </c>
      <c r="Q19" s="8" t="s">
        <v>290</v>
      </c>
      <c r="R19" s="16" t="str">
        <f>HYPERLINK("https://docs.google.com/open?id=0B5-iztf28QNJVEFvd1NWR2hGZEE","Cross-Cutting and Enabling (CC) - Podesta - CHERS XMP")</f>
        <v>Cross-Cutting and Enabling (CC) - Podesta - CHERS XMP</v>
      </c>
      <c r="S19" s="10" t="s">
        <v>291</v>
      </c>
      <c r="T19" s="11" t="s">
        <v>292</v>
      </c>
      <c r="U19" s="8" t="s">
        <v>293</v>
      </c>
      <c r="V19" s="12" t="str">
        <f>HYPERLINK("https://docs.google.com/open?id=0B5-iztf28QNJLUJHOWpzR1F0dVU","Cross-Cutting and Enabling (CC) - Podesta - CHERS XMP")</f>
        <v>Cross-Cutting and Enabling (CC) - Podesta - CHERS XMP</v>
      </c>
      <c r="W19" s="10" t="s">
        <v>294</v>
      </c>
      <c r="X19" s="14"/>
    </row>
    <row r="20">
      <c r="A20" s="5">
        <v>42041.432110416674</v>
      </c>
      <c r="B20" s="6" t="s">
        <v>295</v>
      </c>
      <c r="C20" s="7" t="s">
        <v>296</v>
      </c>
      <c r="D20" s="7" t="s">
        <v>297</v>
      </c>
      <c r="E20" s="7" t="s">
        <v>298</v>
      </c>
      <c r="F20" s="7" t="s">
        <v>299</v>
      </c>
      <c r="G20" s="7" t="s">
        <v>28</v>
      </c>
      <c r="H20" s="7" t="s">
        <v>29</v>
      </c>
      <c r="I20" s="7" t="s">
        <v>30</v>
      </c>
      <c r="J20" s="7" t="s">
        <v>300</v>
      </c>
      <c r="K20" s="7">
        <v>2.0</v>
      </c>
      <c r="L20" s="7">
        <v>2.0</v>
      </c>
      <c r="M20" s="7">
        <v>1.0</v>
      </c>
      <c r="N20" s="7" t="s">
        <v>301</v>
      </c>
      <c r="O20" s="7" t="s">
        <v>302</v>
      </c>
      <c r="P20" s="7" t="s">
        <v>303</v>
      </c>
      <c r="Q20" s="8" t="s">
        <v>304</v>
      </c>
      <c r="R20" s="9" t="str">
        <f>HYPERLINK("https://docs.google.com/open?id=0B5-iztf28QNJaV9TVlY4WnFIQkU","Cross-Cutting and Enabling (CC) - Jaworski - High-Z reference discharge development")</f>
        <v>Cross-Cutting and Enabling (CC) - Jaworski - High-Z reference discharge development</v>
      </c>
      <c r="S20" s="10" t="s">
        <v>305</v>
      </c>
      <c r="T20" s="6" t="s">
        <v>306</v>
      </c>
      <c r="U20" s="8" t="s">
        <v>307</v>
      </c>
      <c r="V20" s="12" t="str">
        <f>HYPERLINK("https://docs.google.com/open?id=0B5-iztf28QNJdVU2Mm9fbjFYM00","Cross-Cutting and Enabling (CC) - Jaworski - High-Z reference discharge development")</f>
        <v>Cross-Cutting and Enabling (CC) - Jaworski - High-Z reference discharge development</v>
      </c>
      <c r="W20" s="10" t="s">
        <v>308</v>
      </c>
      <c r="X20" s="14"/>
    </row>
    <row r="21">
      <c r="A21" s="17">
        <v>42041.45203429398</v>
      </c>
      <c r="B21" s="13" t="s">
        <v>309</v>
      </c>
      <c r="C21" s="13" t="s">
        <v>24</v>
      </c>
      <c r="D21" s="13" t="s">
        <v>25</v>
      </c>
      <c r="E21" s="13" t="s">
        <v>26</v>
      </c>
      <c r="F21" s="13" t="s">
        <v>310</v>
      </c>
      <c r="G21" s="13" t="s">
        <v>28</v>
      </c>
      <c r="H21" s="13" t="s">
        <v>29</v>
      </c>
      <c r="I21" s="13" t="s">
        <v>30</v>
      </c>
      <c r="J21" s="13" t="s">
        <v>47</v>
      </c>
      <c r="K21" s="13">
        <v>1.0</v>
      </c>
      <c r="L21" s="13">
        <v>0.0</v>
      </c>
      <c r="M21" s="13">
        <v>1.0</v>
      </c>
      <c r="N21" s="13" t="s">
        <v>311</v>
      </c>
      <c r="O21" s="13" t="s">
        <v>312</v>
      </c>
      <c r="P21" s="13" t="s">
        <v>313</v>
      </c>
      <c r="Q21" s="18" t="s">
        <v>314</v>
      </c>
      <c r="R21" s="19" t="str">
        <f>HYPERLINK("https://docs.google.com/open?id=0B5-iztf28QNJR1N0c0ZzdHhIVVE","Cross-Cutting and Enabling (CC) - Battaglia - Initial H-mode access on NSTX-U")</f>
        <v>Cross-Cutting and Enabling (CC) - Battaglia - Initial H-mode access on NSTX-U</v>
      </c>
      <c r="S21" s="20" t="s">
        <v>315</v>
      </c>
      <c r="T21" s="21" t="s">
        <v>316</v>
      </c>
      <c r="U21" s="18" t="s">
        <v>317</v>
      </c>
      <c r="V21" s="19" t="str">
        <f>HYPERLINK("https://docs.google.com/open?id=0B5-iztf28QNJMHFMX2JrOFJNNlE","Cross-Cutting and Enabling (CC) - Battaglia - Initial H-mode access on NSTX-U")</f>
        <v>Cross-Cutting and Enabling (CC) - Battaglia - Initial H-mode access on NSTX-U</v>
      </c>
      <c r="W21" s="20" t="s">
        <v>318</v>
      </c>
    </row>
    <row r="22">
      <c r="A22" s="17">
        <v>42041.48700601851</v>
      </c>
      <c r="B22" s="13" t="s">
        <v>319</v>
      </c>
      <c r="C22" s="13" t="s">
        <v>164</v>
      </c>
      <c r="D22" s="13" t="s">
        <v>320</v>
      </c>
      <c r="E22" s="13" t="s">
        <v>321</v>
      </c>
      <c r="F22" s="13" t="s">
        <v>322</v>
      </c>
      <c r="G22" s="13" t="s">
        <v>28</v>
      </c>
      <c r="H22" s="13" t="s">
        <v>29</v>
      </c>
      <c r="I22" s="13" t="s">
        <v>30</v>
      </c>
      <c r="J22" s="13" t="s">
        <v>323</v>
      </c>
      <c r="K22" s="13">
        <v>0.5</v>
      </c>
      <c r="L22" s="13">
        <v>0.5</v>
      </c>
      <c r="M22" s="13">
        <v>0.5</v>
      </c>
      <c r="N22" s="13" t="s">
        <v>324</v>
      </c>
      <c r="O22" s="13" t="s">
        <v>325</v>
      </c>
      <c r="P22" s="13" t="s">
        <v>326</v>
      </c>
      <c r="Q22" s="18" t="s">
        <v>327</v>
      </c>
      <c r="R22" s="19" t="str">
        <f>HYPERLINK("https://docs.google.com/open?id=0B5-iztf28QNJQ01nWnlNR3hwdTQ","Cross-Cutting and Enabling (CC) - Lunsford - Granule Injector operational readiness assessment")</f>
        <v>Cross-Cutting and Enabling (CC) - Lunsford - Granule Injector operational readiness assessment</v>
      </c>
      <c r="S22" s="20" t="s">
        <v>328</v>
      </c>
      <c r="T22" s="21" t="s">
        <v>329</v>
      </c>
      <c r="U22" s="18" t="s">
        <v>330</v>
      </c>
      <c r="V22" s="19" t="str">
        <f>HYPERLINK("https://docs.google.com/open?id=0B5-iztf28QNJbTlodXRSLXdPVmc","Cross-Cutting and Enabling (CC) - Lunsford - Granule Injector operational readiness assessment")</f>
        <v>Cross-Cutting and Enabling (CC) - Lunsford - Granule Injector operational readiness assessment</v>
      </c>
      <c r="W22" s="20" t="s">
        <v>331</v>
      </c>
    </row>
    <row r="23">
      <c r="A23" s="17">
        <v>42041.57644596064</v>
      </c>
      <c r="B23" s="13" t="s">
        <v>332</v>
      </c>
      <c r="C23" s="13" t="s">
        <v>333</v>
      </c>
      <c r="D23" s="13" t="s">
        <v>334</v>
      </c>
      <c r="E23" s="13" t="s">
        <v>335</v>
      </c>
      <c r="F23" s="13" t="s">
        <v>336</v>
      </c>
      <c r="G23" s="13" t="s">
        <v>28</v>
      </c>
      <c r="H23" s="13" t="s">
        <v>337</v>
      </c>
      <c r="I23" s="13" t="s">
        <v>154</v>
      </c>
      <c r="J23" s="13" t="s">
        <v>338</v>
      </c>
      <c r="K23" s="13">
        <v>0.25</v>
      </c>
      <c r="L23" s="13">
        <v>0.0</v>
      </c>
      <c r="M23" s="13">
        <v>0.2</v>
      </c>
      <c r="N23" s="13" t="s">
        <v>339</v>
      </c>
      <c r="O23" s="13" t="s">
        <v>340</v>
      </c>
      <c r="P23" s="13" t="s">
        <v>341</v>
      </c>
      <c r="Q23" s="18" t="s">
        <v>342</v>
      </c>
      <c r="R23" s="19" t="str">
        <f>HYPERLINK("https://docs.google.com/open?id=0B5-iztf28QNJQ3hEU1pZYnZFOEU","Cross-cutting and Enabling (CC) - Sabbagh - RWM state-space control with 6 coils - checkout XMP")</f>
        <v>Cross-cutting and Enabling (CC) - Sabbagh - RWM state-space control with 6 coils - checkout XMP</v>
      </c>
      <c r="S23" s="20" t="s">
        <v>343</v>
      </c>
      <c r="T23" s="21" t="s">
        <v>344</v>
      </c>
      <c r="U23" s="18" t="s">
        <v>345</v>
      </c>
      <c r="V23" s="19" t="str">
        <f>HYPERLINK("https://docs.google.com/open?id=0B5-iztf28QNJY1pWakZYcUIwcnc","Cross-cutting and Enabling (CC) - Sabbagh - RWM state-space control with 6 coils - checkout XMP")</f>
        <v>Cross-cutting and Enabling (CC) - Sabbagh - RWM state-space control with 6 coils - checkout XMP</v>
      </c>
      <c r="W23" s="20" t="s">
        <v>346</v>
      </c>
    </row>
    <row r="24">
      <c r="A24" s="17">
        <v>42041.56825511574</v>
      </c>
      <c r="B24" s="13" t="s">
        <v>347</v>
      </c>
      <c r="C24" s="13" t="s">
        <v>348</v>
      </c>
      <c r="D24" s="13" t="s">
        <v>349</v>
      </c>
      <c r="E24" s="13" t="s">
        <v>350</v>
      </c>
      <c r="F24" s="13" t="s">
        <v>351</v>
      </c>
      <c r="G24" s="13" t="s">
        <v>28</v>
      </c>
      <c r="H24" s="13" t="s">
        <v>337</v>
      </c>
      <c r="I24" s="13" t="s">
        <v>154</v>
      </c>
      <c r="J24" s="13" t="s">
        <v>352</v>
      </c>
      <c r="K24" s="13">
        <v>0.25</v>
      </c>
      <c r="L24" s="13">
        <v>0.25</v>
      </c>
      <c r="M24" s="13">
        <v>0.2</v>
      </c>
      <c r="N24" s="13" t="s">
        <v>353</v>
      </c>
      <c r="O24" s="13" t="s">
        <v>354</v>
      </c>
      <c r="P24" s="13" t="s">
        <v>355</v>
      </c>
      <c r="Q24" s="18" t="s">
        <v>356</v>
      </c>
      <c r="R24" s="19" t="str">
        <f>HYPERLINK("https://docs.google.com/open?id=0B5-iztf28QNJODZRQlF1Z3lvZUU","Cross-cutting and Enabling (CC) - Berkery - XMP for MHD Spectroscopy Checkout")</f>
        <v>Cross-cutting and Enabling (CC) - Berkery - XMP for MHD Spectroscopy Checkout</v>
      </c>
      <c r="S24" s="20" t="s">
        <v>357</v>
      </c>
      <c r="T24" s="21" t="s">
        <v>358</v>
      </c>
      <c r="U24" s="18" t="s">
        <v>359</v>
      </c>
      <c r="V24" s="19" t="str">
        <f>HYPERLINK("https://docs.google.com/open?id=0B5-iztf28QNJb2dIdGFSZ2xwOXM","Cross-cutting and Enabling (CC) - Berkery - XMP for MHD Spectroscopy Checkout")</f>
        <v>Cross-cutting and Enabling (CC) - Berkery - XMP for MHD Spectroscopy Checkout</v>
      </c>
      <c r="W24" s="20" t="s">
        <v>360</v>
      </c>
    </row>
    <row r="25">
      <c r="A25" s="17">
        <v>42041.57638050926</v>
      </c>
      <c r="B25" s="13" t="s">
        <v>361</v>
      </c>
      <c r="C25" s="13" t="s">
        <v>362</v>
      </c>
      <c r="D25" s="13" t="s">
        <v>363</v>
      </c>
      <c r="E25" s="13" t="s">
        <v>364</v>
      </c>
      <c r="F25" s="13" t="s">
        <v>365</v>
      </c>
      <c r="G25" s="13" t="s">
        <v>28</v>
      </c>
      <c r="H25" s="13" t="s">
        <v>29</v>
      </c>
      <c r="I25" s="13" t="s">
        <v>154</v>
      </c>
      <c r="J25" s="13" t="s">
        <v>366</v>
      </c>
      <c r="K25" s="13">
        <v>1.0</v>
      </c>
      <c r="L25" s="13">
        <v>0.0</v>
      </c>
      <c r="M25" s="13">
        <v>0.5</v>
      </c>
      <c r="N25" s="13" t="s">
        <v>367</v>
      </c>
      <c r="O25" s="13" t="s">
        <v>368</v>
      </c>
      <c r="P25" s="13" t="s">
        <v>369</v>
      </c>
      <c r="Q25" s="18" t="s">
        <v>370</v>
      </c>
      <c r="R25" s="19" t="str">
        <f>HYPERLINK("https://docs.google.com/open?id=0B5-iztf28QNJZGhqODBTb2x0NUk","Cross-cutting and Enabling (CC) - Boyer - Commission rtEFIT, ISOFLUX")</f>
        <v>Cross-cutting and Enabling (CC) - Boyer - Commission rtEFIT, ISOFLUX</v>
      </c>
      <c r="S25" s="20" t="s">
        <v>371</v>
      </c>
      <c r="T25" s="21" t="s">
        <v>372</v>
      </c>
      <c r="U25" s="18" t="s">
        <v>373</v>
      </c>
      <c r="V25" s="19" t="str">
        <f>HYPERLINK("https://docs.google.com/open?id=0B5-iztf28QNJTUtFSnA0ejM1ek0","Cross-cutting and Enabling (CC) - Boyer - Commission rtEFIT, ISOFLUX")</f>
        <v>Cross-cutting and Enabling (CC) - Boyer - Commission rtEFIT, ISOFLUX</v>
      </c>
      <c r="W25" s="20" t="s">
        <v>374</v>
      </c>
    </row>
    <row r="26">
      <c r="A26" s="17">
        <v>42041.57760892361</v>
      </c>
      <c r="B26" s="13" t="s">
        <v>375</v>
      </c>
      <c r="C26" s="13" t="s">
        <v>362</v>
      </c>
      <c r="D26" s="13" t="s">
        <v>363</v>
      </c>
      <c r="E26" s="13" t="s">
        <v>364</v>
      </c>
      <c r="F26" s="13" t="s">
        <v>376</v>
      </c>
      <c r="G26" s="13" t="s">
        <v>28</v>
      </c>
      <c r="H26" s="13" t="s">
        <v>29</v>
      </c>
      <c r="I26" s="13" t="s">
        <v>60</v>
      </c>
      <c r="J26" s="13" t="s">
        <v>366</v>
      </c>
      <c r="K26" s="13">
        <v>0.5</v>
      </c>
      <c r="L26" s="13">
        <v>0.0</v>
      </c>
      <c r="M26" s="13">
        <v>0.5</v>
      </c>
      <c r="N26" s="13" t="s">
        <v>377</v>
      </c>
      <c r="O26" s="13" t="s">
        <v>368</v>
      </c>
      <c r="P26" s="13" t="s">
        <v>378</v>
      </c>
      <c r="Q26" s="18" t="s">
        <v>379</v>
      </c>
      <c r="R26" s="19" t="str">
        <f>HYPERLINK("https://docs.google.com/open?id=0B5-iztf28QNJcU1hbTJZOXdiTlU","Advanced Scenarios and Control (ASC) - Boyer - Beam power and beta-N control")</f>
        <v>Advanced Scenarios and Control (ASC) - Boyer - Beam power and beta-N control</v>
      </c>
      <c r="S26" s="20" t="s">
        <v>380</v>
      </c>
      <c r="T26" s="21" t="s">
        <v>381</v>
      </c>
      <c r="U26" s="18" t="s">
        <v>382</v>
      </c>
      <c r="V26" s="19" t="str">
        <f>HYPERLINK("https://docs.google.com/open?id=0B5-iztf28QNJeXBDX19KbTg0R2s","Advanced Scenarios and Control (ASC) - Boyer - Beam power and beta-N control")</f>
        <v>Advanced Scenarios and Control (ASC) - Boyer - Beam power and beta-N control</v>
      </c>
      <c r="W26" s="20" t="s">
        <v>383</v>
      </c>
    </row>
    <row r="27">
      <c r="A27" s="17">
        <v>42054.74455722222</v>
      </c>
      <c r="B27" s="13" t="s">
        <v>384</v>
      </c>
      <c r="C27" s="13" t="s">
        <v>231</v>
      </c>
      <c r="D27" s="13" t="s">
        <v>232</v>
      </c>
      <c r="E27" s="13" t="s">
        <v>233</v>
      </c>
      <c r="F27" s="13" t="s">
        <v>385</v>
      </c>
      <c r="G27" s="13" t="s">
        <v>28</v>
      </c>
      <c r="H27" s="13" t="s">
        <v>29</v>
      </c>
      <c r="I27" s="13" t="s">
        <v>235</v>
      </c>
      <c r="J27" s="13" t="s">
        <v>47</v>
      </c>
      <c r="K27" s="13">
        <v>1.0</v>
      </c>
      <c r="L27" s="13">
        <v>1.0</v>
      </c>
      <c r="M27" s="13">
        <v>1.0</v>
      </c>
      <c r="N27" s="13" t="s">
        <v>386</v>
      </c>
      <c r="O27" s="13" t="s">
        <v>387</v>
      </c>
      <c r="P27" s="13" t="s">
        <v>388</v>
      </c>
      <c r="Q27" s="18" t="s">
        <v>389</v>
      </c>
      <c r="R27" s="19" t="str">
        <f>HYPERLINK("https://docs.google.com/open?id=0B5-iztf28QNJaHludHRYQ3FXNVk","Pedestal Structure and Control (PS) - Diallo - The Role of fueling on the pedestal evolution between ELMs")</f>
        <v>Pedestal Structure and Control (PS) - Diallo - The Role of fueling on the pedestal evolution between ELMs</v>
      </c>
      <c r="S27" s="20" t="s">
        <v>390</v>
      </c>
      <c r="T27" s="21" t="s">
        <v>391</v>
      </c>
      <c r="U27" s="18" t="s">
        <v>392</v>
      </c>
      <c r="V27" s="19" t="str">
        <f>HYPERLINK("https://docs.google.com/open?id=0B5-iztf28QNJRWlQSDZ1THZObm8","Pedestal Structure and Control (PS) - Diallo - ELM-induced fueling effects  on the pedestal evolution")</f>
        <v>Pedestal Structure and Control (PS) - Diallo - ELM-induced fueling effects  on the pedestal evolution</v>
      </c>
      <c r="W27" s="20" t="s">
        <v>393</v>
      </c>
    </row>
    <row r="28">
      <c r="A28" s="17">
        <v>42041.61747938658</v>
      </c>
      <c r="B28" s="13" t="s">
        <v>394</v>
      </c>
      <c r="C28" s="13" t="s">
        <v>395</v>
      </c>
      <c r="D28" s="13" t="s">
        <v>396</v>
      </c>
      <c r="E28" s="13" t="s">
        <v>397</v>
      </c>
      <c r="F28" s="13" t="s">
        <v>398</v>
      </c>
      <c r="G28" s="13" t="s">
        <v>28</v>
      </c>
      <c r="H28" s="13" t="s">
        <v>399</v>
      </c>
      <c r="I28" s="13" t="s">
        <v>154</v>
      </c>
      <c r="J28" s="13" t="s">
        <v>47</v>
      </c>
      <c r="K28" s="13">
        <v>1.0</v>
      </c>
      <c r="L28" s="13">
        <v>1.0</v>
      </c>
      <c r="M28" s="13">
        <v>0.5</v>
      </c>
      <c r="N28" s="13" t="s">
        <v>400</v>
      </c>
      <c r="O28" s="13" t="s">
        <v>47</v>
      </c>
      <c r="P28" s="13" t="s">
        <v>401</v>
      </c>
      <c r="Q28" s="18" t="s">
        <v>402</v>
      </c>
      <c r="R28" s="19" t="str">
        <f>HYPERLINK("https://docs.google.com/open?id=0B5-iztf28QNJb1YyRTRNM1N0bWc","Cross-cutting and Enabling (CC) - Allain - Materials Analysis Particle Probe Commissioning")</f>
        <v>Cross-cutting and Enabling (CC) - Allain - Materials Analysis Particle Probe Commissioning</v>
      </c>
      <c r="S28" s="20" t="s">
        <v>403</v>
      </c>
      <c r="T28" s="21" t="s">
        <v>404</v>
      </c>
      <c r="U28" s="18" t="s">
        <v>405</v>
      </c>
      <c r="V28" s="19" t="str">
        <f>HYPERLINK("https://docs.google.com/open?id=0B5-iztf28QNJT3BTOGNKYUxjeFE","Cross-cutting and Enabling (CC) - Allain - Materials Analysis Particle Probe Commissioning")</f>
        <v>Cross-cutting and Enabling (CC) - Allain - Materials Analysis Particle Probe Commissioning</v>
      </c>
      <c r="W28" s="20" t="s">
        <v>406</v>
      </c>
    </row>
    <row r="29">
      <c r="A29" s="17">
        <v>42041.61893577546</v>
      </c>
      <c r="B29" s="13" t="s">
        <v>407</v>
      </c>
      <c r="C29" s="13" t="s">
        <v>24</v>
      </c>
      <c r="D29" s="13" t="s">
        <v>25</v>
      </c>
      <c r="E29" s="13" t="s">
        <v>26</v>
      </c>
      <c r="F29" s="13" t="s">
        <v>47</v>
      </c>
      <c r="G29" s="13" t="s">
        <v>28</v>
      </c>
      <c r="H29" s="13" t="s">
        <v>29</v>
      </c>
      <c r="I29" s="13" t="s">
        <v>154</v>
      </c>
      <c r="J29" s="13" t="s">
        <v>47</v>
      </c>
      <c r="K29" s="13">
        <v>0.0</v>
      </c>
      <c r="L29" s="13">
        <v>0.0</v>
      </c>
      <c r="M29" s="13">
        <v>0.0</v>
      </c>
      <c r="N29" s="13" t="s">
        <v>408</v>
      </c>
      <c r="O29" s="13" t="s">
        <v>409</v>
      </c>
      <c r="P29" s="13" t="s">
        <v>410</v>
      </c>
      <c r="Q29" s="18" t="s">
        <v>411</v>
      </c>
      <c r="R29" s="19" t="str">
        <f>HYPERLINK("https://docs.google.com/open?id=0B5-iztf28QNJRm5qelN6S0g2MEE","Cross-cutting and Enabling (CC) - Battaglia - Flow rate calibration of gas valves")</f>
        <v>Cross-cutting and Enabling (CC) - Battaglia - Flow rate calibration of gas valves</v>
      </c>
      <c r="S29" s="20" t="s">
        <v>412</v>
      </c>
      <c r="T29" s="21" t="s">
        <v>413</v>
      </c>
      <c r="U29" s="18" t="s">
        <v>414</v>
      </c>
      <c r="V29" s="19" t="str">
        <f>HYPERLINK("https://docs.google.com/open?id=0B5-iztf28QNJYTliNW9iQ19YY1U","Cross-cutting and Enabling (CC) - Battaglia - Flow rate calibration of gas valves")</f>
        <v>Cross-cutting and Enabling (CC) - Battaglia - Flow rate calibration of gas valves</v>
      </c>
      <c r="W29" s="20" t="s">
        <v>415</v>
      </c>
    </row>
    <row r="30">
      <c r="A30" s="17">
        <v>42041.63227751157</v>
      </c>
      <c r="B30" s="13" t="s">
        <v>416</v>
      </c>
      <c r="C30" s="13" t="s">
        <v>24</v>
      </c>
      <c r="D30" s="13" t="s">
        <v>25</v>
      </c>
      <c r="E30" s="13" t="s">
        <v>26</v>
      </c>
      <c r="F30" s="13" t="s">
        <v>47</v>
      </c>
      <c r="G30" s="13" t="s">
        <v>28</v>
      </c>
      <c r="H30" s="13" t="s">
        <v>29</v>
      </c>
      <c r="I30" s="13" t="s">
        <v>154</v>
      </c>
      <c r="J30" s="13" t="s">
        <v>47</v>
      </c>
      <c r="K30" s="13">
        <v>0.25</v>
      </c>
      <c r="L30" s="13">
        <v>0.0</v>
      </c>
      <c r="M30" s="13">
        <v>0.0</v>
      </c>
      <c r="N30" s="13" t="s">
        <v>417</v>
      </c>
      <c r="O30" s="13" t="s">
        <v>418</v>
      </c>
      <c r="P30" s="13" t="s">
        <v>419</v>
      </c>
      <c r="Q30" s="18" t="s">
        <v>420</v>
      </c>
      <c r="R30" s="19" t="str">
        <f>HYPERLINK("https://docs.google.com/open?id=0B5-iztf28QNJZmpwTTUzcEppaEE","Cross-cutting and Enabling (CC) - Battaglia - Optimization of the between-shot helium GDC")</f>
        <v>Cross-cutting and Enabling (CC) - Battaglia - Optimization of the between-shot helium GDC</v>
      </c>
      <c r="S30" s="20" t="s">
        <v>421</v>
      </c>
      <c r="T30" s="21" t="s">
        <v>422</v>
      </c>
      <c r="U30" s="18" t="s">
        <v>423</v>
      </c>
      <c r="V30" s="19" t="str">
        <f>HYPERLINK("https://docs.google.com/open?id=0B5-iztf28QNJbUZKOGhJVHQzV2c","Cross-cutting and Enabling (CC) - Battaglia - Optimization of the between-shot helium GDC")</f>
        <v>Cross-cutting and Enabling (CC) - Battaglia - Optimization of the between-shot helium GDC</v>
      </c>
      <c r="W30" s="20" t="s">
        <v>424</v>
      </c>
    </row>
    <row r="31">
      <c r="A31" s="17">
        <v>42041.64716642361</v>
      </c>
      <c r="B31" s="13" t="s">
        <v>425</v>
      </c>
      <c r="C31" s="13" t="s">
        <v>426</v>
      </c>
      <c r="D31" s="13" t="s">
        <v>427</v>
      </c>
      <c r="E31" s="13" t="s">
        <v>428</v>
      </c>
      <c r="F31" s="13" t="s">
        <v>429</v>
      </c>
      <c r="G31" s="13" t="s">
        <v>28</v>
      </c>
      <c r="H31" s="13" t="s">
        <v>430</v>
      </c>
      <c r="I31" s="13" t="s">
        <v>154</v>
      </c>
      <c r="J31" s="13" t="s">
        <v>47</v>
      </c>
      <c r="K31" s="13">
        <v>0.0</v>
      </c>
      <c r="L31" s="13">
        <v>0.0</v>
      </c>
      <c r="M31" s="13">
        <v>0.0</v>
      </c>
      <c r="N31" s="13" t="s">
        <v>431</v>
      </c>
      <c r="O31" s="13" t="s">
        <v>432</v>
      </c>
      <c r="P31" s="13" t="s">
        <v>433</v>
      </c>
      <c r="Q31" s="18" t="s">
        <v>434</v>
      </c>
      <c r="R31" s="19" t="str">
        <f>HYPERLINK("https://docs.google.com/open?id=0B5-iztf28QNJLUo1VHdEZTRqbG8","Cross-cutting and Enabling (CC) - Ahn - IR thermography calibration and commissioning")</f>
        <v>Cross-cutting and Enabling (CC) - Ahn - IR thermography calibration and commissioning</v>
      </c>
      <c r="S31" s="20" t="s">
        <v>435</v>
      </c>
      <c r="T31" s="21" t="s">
        <v>436</v>
      </c>
      <c r="U31" s="18" t="s">
        <v>437</v>
      </c>
      <c r="V31" s="19" t="str">
        <f>HYPERLINK("https://docs.google.com/open?id=0B5-iztf28QNJTHBzOTRoanN6WUE","Cross-cutting and Enabling (CC) - Ahn - IR thermography calibration and commissioning")</f>
        <v>Cross-cutting and Enabling (CC) - Ahn - IR thermography calibration and commissioning</v>
      </c>
      <c r="W31" s="20" t="s">
        <v>438</v>
      </c>
    </row>
    <row r="32">
      <c r="A32" s="17">
        <v>42041.733420219905</v>
      </c>
      <c r="B32" s="13" t="s">
        <v>439</v>
      </c>
      <c r="C32" s="13" t="s">
        <v>440</v>
      </c>
      <c r="D32" s="13" t="s">
        <v>441</v>
      </c>
      <c r="E32" s="13" t="s">
        <v>442</v>
      </c>
      <c r="F32" s="13" t="s">
        <v>443</v>
      </c>
      <c r="G32" s="13" t="s">
        <v>28</v>
      </c>
      <c r="H32" s="13" t="s">
        <v>168</v>
      </c>
      <c r="I32" s="13" t="s">
        <v>169</v>
      </c>
      <c r="J32" s="13" t="s">
        <v>47</v>
      </c>
      <c r="K32" s="13">
        <v>1.5</v>
      </c>
      <c r="L32" s="13">
        <v>0.0</v>
      </c>
      <c r="M32" s="13">
        <v>1.0</v>
      </c>
      <c r="N32" s="13" t="s">
        <v>444</v>
      </c>
      <c r="O32" s="13" t="s">
        <v>445</v>
      </c>
      <c r="P32" s="13" t="s">
        <v>446</v>
      </c>
      <c r="Q32" s="18" t="s">
        <v>447</v>
      </c>
      <c r="R32" s="19" t="str">
        <f>HYPERLINK("https://docs.google.com/open?id=0B5-iztf28QNJYmJZTV9ybnFoNDA","Macroscopic Stability (MS) - Evans - 3D plasma response data for MHD and transport code validations")</f>
        <v>Macroscopic Stability (MS) - Evans - 3D plasma response data for MHD and transport code validations</v>
      </c>
      <c r="S32" s="20" t="s">
        <v>448</v>
      </c>
      <c r="T32" s="21" t="s">
        <v>449</v>
      </c>
      <c r="U32" s="18" t="s">
        <v>450</v>
      </c>
      <c r="V32" s="19" t="str">
        <f>HYPERLINK("https://docs.google.com/open?id=0B5-iztf28QNJZmNPZzhNVUgydGc","Macroscopic Stability (MS) - Evans - 3D plasma response data for MHD and transport code validations")</f>
        <v>Macroscopic Stability (MS) - Evans - 3D plasma response data for MHD and transport code validations</v>
      </c>
      <c r="W32" s="20" t="s">
        <v>451</v>
      </c>
    </row>
    <row r="33">
      <c r="A33" s="17">
        <v>42043.69844061343</v>
      </c>
      <c r="B33" s="13" t="s">
        <v>452</v>
      </c>
      <c r="C33" s="13" t="s">
        <v>453</v>
      </c>
      <c r="D33" s="13" t="s">
        <v>454</v>
      </c>
      <c r="E33" s="13" t="s">
        <v>455</v>
      </c>
      <c r="F33" s="13" t="s">
        <v>456</v>
      </c>
      <c r="G33" s="13" t="s">
        <v>28</v>
      </c>
      <c r="H33" s="13" t="s">
        <v>29</v>
      </c>
      <c r="I33" s="13" t="s">
        <v>60</v>
      </c>
      <c r="J33" s="13" t="s">
        <v>457</v>
      </c>
      <c r="K33" s="13">
        <v>1.0</v>
      </c>
      <c r="L33" s="13">
        <v>0.0</v>
      </c>
      <c r="M33" s="13">
        <v>0.5</v>
      </c>
      <c r="N33" s="13" t="s">
        <v>458</v>
      </c>
      <c r="O33" s="13" t="s">
        <v>459</v>
      </c>
      <c r="P33" s="13" t="s">
        <v>460</v>
      </c>
      <c r="Q33" s="18" t="s">
        <v>461</v>
      </c>
      <c r="R33" s="19" t="str">
        <f>HYPERLINK("https://docs.google.com/open?id=0B5-iztf28QNJRTAwbE9JNUpwWVk","Advanced Scenarios and Control (ASC) - Kolemen - X-point Control")</f>
        <v>Advanced Scenarios and Control (ASC) - Kolemen - X-point Control</v>
      </c>
      <c r="S33" s="20" t="s">
        <v>462</v>
      </c>
      <c r="T33" s="21" t="s">
        <v>463</v>
      </c>
      <c r="U33" s="18" t="s">
        <v>464</v>
      </c>
      <c r="V33" s="19" t="str">
        <f>HYPERLINK("https://docs.google.com/open?id=0B5-iztf28QNJUWVNb0kycHJMQUk","Advanced Scenarios and Control (ASC) - Kolemen - X-point Control")</f>
        <v>Advanced Scenarios and Control (ASC) - Kolemen - X-point Control</v>
      </c>
      <c r="W33" s="20" t="s">
        <v>465</v>
      </c>
    </row>
    <row r="34">
      <c r="A34" s="17">
        <v>42043.716143819445</v>
      </c>
      <c r="B34" s="13" t="s">
        <v>466</v>
      </c>
      <c r="C34" s="13" t="s">
        <v>453</v>
      </c>
      <c r="D34" s="13" t="s">
        <v>454</v>
      </c>
      <c r="E34" s="13" t="s">
        <v>455</v>
      </c>
      <c r="F34" s="13" t="s">
        <v>456</v>
      </c>
      <c r="G34" s="13" t="s">
        <v>28</v>
      </c>
      <c r="H34" s="13" t="s">
        <v>29</v>
      </c>
      <c r="I34" s="13" t="s">
        <v>154</v>
      </c>
      <c r="J34" s="13" t="s">
        <v>467</v>
      </c>
      <c r="K34" s="13">
        <v>1.0</v>
      </c>
      <c r="L34" s="13">
        <v>0.0</v>
      </c>
      <c r="M34" s="13">
        <v>0.5</v>
      </c>
      <c r="N34" s="13" t="s">
        <v>468</v>
      </c>
      <c r="O34" s="13" t="s">
        <v>469</v>
      </c>
      <c r="P34" s="13" t="s">
        <v>470</v>
      </c>
      <c r="Q34" s="18" t="s">
        <v>471</v>
      </c>
      <c r="R34" s="19" t="str">
        <f>HYPERLINK("https://docs.google.com/open?id=0B5-iztf28QNJM21naWJVWFhHMVk","Cross-cutting and Enabling (CC) - Kolemen - Snowflake Control")</f>
        <v>Cross-cutting and Enabling (CC) - Kolemen - Snowflake Control</v>
      </c>
      <c r="S34" s="20" t="s">
        <v>472</v>
      </c>
      <c r="T34" s="21" t="s">
        <v>473</v>
      </c>
      <c r="U34" s="18" t="s">
        <v>474</v>
      </c>
      <c r="V34" s="19" t="str">
        <f>HYPERLINK("https://docs.google.com/open?id=0B5-iztf28QNJQnYyN05QQUZ4ZTA","Cross-cutting and Enabling (CC) - Kolemen - Snowflake Control")</f>
        <v>Cross-cutting and Enabling (CC) - Kolemen - Snowflake Control</v>
      </c>
      <c r="W34" s="20" t="s">
        <v>475</v>
      </c>
    </row>
    <row r="35">
      <c r="A35" s="17">
        <v>42043.72127422454</v>
      </c>
      <c r="B35" s="13" t="s">
        <v>476</v>
      </c>
      <c r="C35" s="13" t="s">
        <v>453</v>
      </c>
      <c r="D35" s="13" t="s">
        <v>454</v>
      </c>
      <c r="E35" s="13" t="s">
        <v>455</v>
      </c>
      <c r="F35" s="13" t="s">
        <v>477</v>
      </c>
      <c r="G35" s="13" t="s">
        <v>28</v>
      </c>
      <c r="H35" s="13" t="s">
        <v>29</v>
      </c>
      <c r="I35" s="13" t="s">
        <v>154</v>
      </c>
      <c r="J35" s="13" t="s">
        <v>478</v>
      </c>
      <c r="K35" s="13">
        <v>2.0</v>
      </c>
      <c r="L35" s="13">
        <v>2.0</v>
      </c>
      <c r="M35" s="13">
        <v>0.0</v>
      </c>
      <c r="N35" s="13" t="s">
        <v>479</v>
      </c>
      <c r="O35" s="13" t="s">
        <v>480</v>
      </c>
      <c r="P35" s="13" t="s">
        <v>481</v>
      </c>
      <c r="Q35" s="18" t="s">
        <v>482</v>
      </c>
      <c r="R35" s="19" t="str">
        <f>HYPERLINK("https://docs.google.com/open?id=0B5-iztf28QNJdmM5MkxIcGtKU3M","Cross-cutting and Enabling (CC) - Kolemen - Checkout real-time diagnostic connections into PCS")</f>
        <v>Cross-cutting and Enabling (CC) - Kolemen - Checkout real-time diagnostic connections into PCS</v>
      </c>
      <c r="S35" s="20" t="s">
        <v>483</v>
      </c>
      <c r="T35" s="21" t="s">
        <v>484</v>
      </c>
      <c r="U35" s="18" t="s">
        <v>485</v>
      </c>
      <c r="V35" s="19" t="str">
        <f>HYPERLINK("https://docs.google.com/open?id=0B5-iztf28QNJZXlRR3ppcjNiMkE","Cross-cutting and Enabling (CC) - Kolemen - Checkout real-time diagnostic connections into PCS")</f>
        <v>Cross-cutting and Enabling (CC) - Kolemen - Checkout real-time diagnostic connections into PCS</v>
      </c>
      <c r="W35" s="20" t="s">
        <v>486</v>
      </c>
    </row>
    <row r="36">
      <c r="A36" s="17">
        <v>42044.612574571765</v>
      </c>
      <c r="B36" s="13" t="s">
        <v>487</v>
      </c>
      <c r="C36" s="13" t="s">
        <v>488</v>
      </c>
      <c r="D36" s="13" t="s">
        <v>489</v>
      </c>
      <c r="E36" s="13" t="s">
        <v>490</v>
      </c>
      <c r="F36" s="13" t="s">
        <v>491</v>
      </c>
      <c r="G36" s="13" t="s">
        <v>28</v>
      </c>
      <c r="H36" s="13" t="s">
        <v>29</v>
      </c>
      <c r="I36" s="13" t="s">
        <v>492</v>
      </c>
      <c r="J36" s="13" t="s">
        <v>47</v>
      </c>
      <c r="K36" s="13">
        <v>2.0</v>
      </c>
      <c r="L36" s="13">
        <v>0.0</v>
      </c>
      <c r="M36" s="13">
        <v>1.0</v>
      </c>
      <c r="N36" s="13" t="s">
        <v>493</v>
      </c>
      <c r="O36" s="13" t="s">
        <v>494</v>
      </c>
      <c r="P36" s="13" t="s">
        <v>495</v>
      </c>
      <c r="Q36" s="18" t="s">
        <v>496</v>
      </c>
      <c r="R36" s="19" t="str">
        <f>HYPERLINK("https://docs.google.com/open?id=0B5-iztf28QNJR1FyLThWMlZHV28","Energetic Particles (EP) - Fredrickson - Parametric dependence of TAE avalanches")</f>
        <v>Energetic Particles (EP) - Fredrickson - Parametric dependence of TAE avalanches</v>
      </c>
      <c r="S36" s="20" t="s">
        <v>497</v>
      </c>
      <c r="T36" s="21" t="s">
        <v>498</v>
      </c>
      <c r="U36" s="18" t="s">
        <v>499</v>
      </c>
      <c r="V36" s="19" t="str">
        <f>HYPERLINK("https://docs.google.com/open?id=0B5-iztf28QNJbW9vRkJLaWdGSTg","Energetic Particles (EP) - Fredrickson - Parametric dependence of TAE avalanches")</f>
        <v>Energetic Particles (EP) - Fredrickson - Parametric dependence of TAE avalanches</v>
      </c>
      <c r="W36" s="20" t="s">
        <v>500</v>
      </c>
    </row>
    <row r="37">
      <c r="A37" s="17">
        <v>42044.596609085645</v>
      </c>
      <c r="B37" s="13" t="s">
        <v>501</v>
      </c>
      <c r="C37" s="13" t="s">
        <v>132</v>
      </c>
      <c r="D37" s="13" t="s">
        <v>73</v>
      </c>
      <c r="E37" s="13" t="s">
        <v>75</v>
      </c>
      <c r="F37" s="13" t="s">
        <v>133</v>
      </c>
      <c r="G37" s="13" t="s">
        <v>28</v>
      </c>
      <c r="H37" s="13" t="s">
        <v>83</v>
      </c>
      <c r="I37" s="13" t="s">
        <v>60</v>
      </c>
      <c r="J37" s="13" t="s">
        <v>88</v>
      </c>
      <c r="K37" s="13">
        <v>1.0</v>
      </c>
      <c r="L37" s="13">
        <v>0.0</v>
      </c>
      <c r="M37" s="13">
        <v>1.0</v>
      </c>
      <c r="N37" s="13" t="s">
        <v>502</v>
      </c>
      <c r="O37" s="13" t="s">
        <v>503</v>
      </c>
      <c r="P37" s="13" t="s">
        <v>504</v>
      </c>
      <c r="Q37" s="18" t="s">
        <v>505</v>
      </c>
      <c r="R37" s="19" t="str">
        <f>HYPERLINK("https://docs.google.com/open?id=0B5-iztf28QNJY1pvbW5WNmZyem8","Advanced Scenarios and Control (ASC) - Levinton - Measurement of Neutral beam driven current")</f>
        <v>Advanced Scenarios and Control (ASC) - Levinton - Measurement of Neutral beam driven current</v>
      </c>
      <c r="S37" s="20" t="s">
        <v>506</v>
      </c>
      <c r="T37" s="21" t="s">
        <v>507</v>
      </c>
      <c r="U37" s="18" t="s">
        <v>508</v>
      </c>
      <c r="V37" s="19" t="str">
        <f>HYPERLINK("https://docs.google.com/open?id=0B5-iztf28QNJZWUzdTVOc2ZRYzA","Advanced Scenarios and Control (ASC) - Levinton - Measurement of Neutral beam driven current")</f>
        <v>Advanced Scenarios and Control (ASC) - Levinton - Measurement of Neutral beam driven current</v>
      </c>
      <c r="W37" s="20" t="s">
        <v>509</v>
      </c>
    </row>
    <row r="38">
      <c r="A38" s="17">
        <v>42044.61313704861</v>
      </c>
      <c r="B38" s="13" t="s">
        <v>510</v>
      </c>
      <c r="C38" s="13" t="s">
        <v>488</v>
      </c>
      <c r="D38" s="13" t="s">
        <v>489</v>
      </c>
      <c r="E38" s="13" t="s">
        <v>490</v>
      </c>
      <c r="F38" s="13" t="s">
        <v>511</v>
      </c>
      <c r="G38" s="13" t="s">
        <v>28</v>
      </c>
      <c r="H38" s="13" t="s">
        <v>29</v>
      </c>
      <c r="I38" s="13" t="s">
        <v>492</v>
      </c>
      <c r="J38" s="13" t="s">
        <v>47</v>
      </c>
      <c r="K38" s="13">
        <v>2.0</v>
      </c>
      <c r="L38" s="13">
        <v>0.0</v>
      </c>
      <c r="M38" s="13">
        <v>1.0</v>
      </c>
      <c r="N38" s="13" t="s">
        <v>512</v>
      </c>
      <c r="O38" s="13" t="s">
        <v>513</v>
      </c>
      <c r="P38" s="13" t="s">
        <v>514</v>
      </c>
      <c r="Q38" s="18" t="s">
        <v>515</v>
      </c>
      <c r="R38" s="19" t="str">
        <f>HYPERLINK("https://docs.google.com/open?id=0B5-iztf28QNJX1RTaGpmZ1lZbGM","Energetic Particles (EP) - Fredrickson - Scaling of HHFW suppression of Alfvénic waves")</f>
        <v>Energetic Particles (EP) - Fredrickson - Scaling of HHFW suppression of Alfvénic waves</v>
      </c>
      <c r="S38" s="20" t="s">
        <v>516</v>
      </c>
      <c r="T38" s="21" t="s">
        <v>517</v>
      </c>
      <c r="U38" s="18" t="s">
        <v>518</v>
      </c>
      <c r="V38" s="19" t="str">
        <f>HYPERLINK("https://docs.google.com/open?id=0B5-iztf28QNJMlNDcDV4NksyaXc","Energetic Particles (EP) - Fredrickson - Scaling of HHFW suppression of Alfvénic waves")</f>
        <v>Energetic Particles (EP) - Fredrickson - Scaling of HHFW suppression of Alfvénic waves</v>
      </c>
      <c r="W38" s="20" t="s">
        <v>519</v>
      </c>
    </row>
    <row r="39">
      <c r="A39" s="17">
        <v>42044.614215289344</v>
      </c>
      <c r="B39" s="13" t="s">
        <v>520</v>
      </c>
      <c r="C39" s="13" t="s">
        <v>488</v>
      </c>
      <c r="D39" s="13" t="s">
        <v>489</v>
      </c>
      <c r="E39" s="13" t="s">
        <v>490</v>
      </c>
      <c r="F39" s="13" t="s">
        <v>521</v>
      </c>
      <c r="G39" s="13" t="s">
        <v>28</v>
      </c>
      <c r="H39" s="13" t="s">
        <v>29</v>
      </c>
      <c r="I39" s="13" t="s">
        <v>492</v>
      </c>
      <c r="J39" s="13" t="s">
        <v>47</v>
      </c>
      <c r="K39" s="13">
        <v>1.0</v>
      </c>
      <c r="L39" s="13">
        <v>0.0</v>
      </c>
      <c r="M39" s="13">
        <v>0.0</v>
      </c>
      <c r="N39" s="13" t="s">
        <v>522</v>
      </c>
      <c r="O39" s="13" t="s">
        <v>523</v>
      </c>
      <c r="P39" s="13" t="s">
        <v>524</v>
      </c>
      <c r="Q39" s="18" t="s">
        <v>525</v>
      </c>
      <c r="R39" s="19" t="str">
        <f>HYPERLINK("https://docs.google.com/open?id=0B5-iztf28QNJbXpVQnA1cHhKdUE","Energetic Particles (EP) - Fredrickson - Affect of HHFW rotation control on TAE activity")</f>
        <v>Energetic Particles (EP) - Fredrickson - Affect of HHFW rotation control on TAE activity</v>
      </c>
      <c r="S39" s="20" t="s">
        <v>526</v>
      </c>
      <c r="T39" s="21" t="s">
        <v>527</v>
      </c>
      <c r="U39" s="18" t="s">
        <v>528</v>
      </c>
      <c r="V39" s="19" t="str">
        <f>HYPERLINK("https://docs.google.com/open?id=0B5-iztf28QNJRnE4dk04RmI0Q3M","Energetic Particles (EP) - Fredrickson - Affect of HHFW rotation control on TAE activity")</f>
        <v>Energetic Particles (EP) - Fredrickson - Affect of HHFW rotation control on TAE activity</v>
      </c>
      <c r="W39" s="20" t="s">
        <v>529</v>
      </c>
    </row>
    <row r="40">
      <c r="A40" s="17">
        <v>42044.62485701389</v>
      </c>
      <c r="B40" s="13" t="s">
        <v>530</v>
      </c>
      <c r="C40" s="13" t="s">
        <v>488</v>
      </c>
      <c r="D40" s="13" t="s">
        <v>489</v>
      </c>
      <c r="E40" s="13" t="s">
        <v>490</v>
      </c>
      <c r="F40" s="13" t="s">
        <v>531</v>
      </c>
      <c r="G40" s="13" t="s">
        <v>28</v>
      </c>
      <c r="H40" s="13" t="s">
        <v>29</v>
      </c>
      <c r="I40" s="13" t="s">
        <v>492</v>
      </c>
      <c r="J40" s="13" t="s">
        <v>47</v>
      </c>
      <c r="K40" s="13">
        <v>2.0</v>
      </c>
      <c r="L40" s="13">
        <v>0.0</v>
      </c>
      <c r="M40" s="13">
        <v>0.0</v>
      </c>
      <c r="N40" s="13" t="s">
        <v>532</v>
      </c>
      <c r="O40" s="13" t="s">
        <v>533</v>
      </c>
      <c r="P40" s="13" t="s">
        <v>534</v>
      </c>
      <c r="Q40" s="18" t="s">
        <v>535</v>
      </c>
      <c r="R40" s="19" t="str">
        <f>HYPERLINK("https://docs.google.com/open?id=0B5-iztf28QNJQ251V2tVYUQ5RlU","Energetic Particles (EP) - Fredrickson - Initial TAE excitation with antenna")</f>
        <v>Energetic Particles (EP) - Fredrickson - Initial TAE excitation with antenna</v>
      </c>
      <c r="S40" s="20" t="s">
        <v>536</v>
      </c>
      <c r="T40" s="21" t="s">
        <v>537</v>
      </c>
      <c r="U40" s="18" t="s">
        <v>538</v>
      </c>
      <c r="V40" s="19" t="str">
        <f>HYPERLINK("https://docs.google.com/open?id=0B5-iztf28QNJbUN2R1lRS1p2NGM","Energetic Particles (EP) - Fredrickson - Initial TAE excitation with antenna")</f>
        <v>Energetic Particles (EP) - Fredrickson - Initial TAE excitation with antenna</v>
      </c>
      <c r="W40" s="20" t="s">
        <v>539</v>
      </c>
    </row>
    <row r="41">
      <c r="A41" s="17">
        <v>42044.65328015046</v>
      </c>
      <c r="B41" s="13" t="s">
        <v>540</v>
      </c>
      <c r="C41" s="13" t="s">
        <v>541</v>
      </c>
      <c r="D41" s="13" t="s">
        <v>542</v>
      </c>
      <c r="E41" s="13" t="s">
        <v>543</v>
      </c>
      <c r="F41" s="13" t="s">
        <v>544</v>
      </c>
      <c r="G41" s="13" t="s">
        <v>28</v>
      </c>
      <c r="H41" s="13" t="s">
        <v>29</v>
      </c>
      <c r="I41" s="13" t="s">
        <v>545</v>
      </c>
      <c r="J41" s="13" t="s">
        <v>546</v>
      </c>
      <c r="K41" s="13">
        <v>1.0</v>
      </c>
      <c r="L41" s="13">
        <v>0.0</v>
      </c>
      <c r="M41" s="13">
        <v>0.5</v>
      </c>
      <c r="N41" s="13" t="s">
        <v>547</v>
      </c>
      <c r="O41" s="13" t="s">
        <v>548</v>
      </c>
      <c r="P41" s="13" t="s">
        <v>549</v>
      </c>
      <c r="Q41" s="18" t="s">
        <v>550</v>
      </c>
      <c r="R41" s="19" t="str">
        <f>HYPERLINK("https://docs.google.com/open?id=0B5-iztf28QNJaUhkbVdMNHB6OE0","Solenoid-free Start-up and Ramp-up (SR) - Taylor - HHFW Heating of CHI-Only Discharges")</f>
        <v>Solenoid-free Start-up and Ramp-up (SR) - Taylor - HHFW Heating of CHI-Only Discharges</v>
      </c>
      <c r="S41" s="20" t="s">
        <v>551</v>
      </c>
      <c r="T41" s="21" t="s">
        <v>552</v>
      </c>
      <c r="U41" s="18" t="s">
        <v>553</v>
      </c>
      <c r="V41" s="19" t="str">
        <f>HYPERLINK("https://docs.google.com/open?id=0B5-iztf28QNJSEtQdndUa3g3M1U","Solenoid-free Start-up and Ramp-up (SR) - Taylor - HHFW Heating of CHI-Only Discharges")</f>
        <v>Solenoid-free Start-up and Ramp-up (SR) - Taylor - HHFW Heating of CHI-Only Discharges</v>
      </c>
      <c r="W41" s="20" t="s">
        <v>554</v>
      </c>
    </row>
    <row r="42">
      <c r="A42" s="17">
        <v>42044.65515290509</v>
      </c>
      <c r="B42" s="13" t="s">
        <v>555</v>
      </c>
      <c r="C42" s="13" t="s">
        <v>541</v>
      </c>
      <c r="D42" s="13" t="s">
        <v>542</v>
      </c>
      <c r="E42" s="13" t="s">
        <v>543</v>
      </c>
      <c r="F42" s="13" t="s">
        <v>556</v>
      </c>
      <c r="G42" s="13" t="s">
        <v>28</v>
      </c>
      <c r="H42" s="13" t="s">
        <v>29</v>
      </c>
      <c r="I42" s="13" t="s">
        <v>545</v>
      </c>
      <c r="J42" s="13" t="s">
        <v>546</v>
      </c>
      <c r="K42" s="13">
        <v>2.0</v>
      </c>
      <c r="L42" s="13">
        <v>0.0</v>
      </c>
      <c r="M42" s="13">
        <v>1.0</v>
      </c>
      <c r="N42" s="13" t="s">
        <v>557</v>
      </c>
      <c r="O42" s="13" t="s">
        <v>558</v>
      </c>
      <c r="P42" s="13" t="s">
        <v>559</v>
      </c>
      <c r="Q42" s="18" t="s">
        <v>560</v>
      </c>
      <c r="R42" s="19" t="str">
        <f>HYPERLINK("https://docs.google.com/open?id=0B5-iztf28QNJTm0tRkFNN21UU0U","Solenoid-free Start-up and Ramp-up (SR) - Taylor - Low Plasma Current, Fully Non-Inductive, HHFW H-Mode Plasmas")</f>
        <v>Solenoid-free Start-up and Ramp-up (SR) - Taylor - Low Plasma Current, Fully Non-Inductive, HHFW H-Mode Plasmas</v>
      </c>
      <c r="S42" s="20" t="s">
        <v>561</v>
      </c>
      <c r="T42" s="21" t="s">
        <v>562</v>
      </c>
      <c r="U42" s="18" t="s">
        <v>563</v>
      </c>
      <c r="V42" s="19" t="str">
        <f>HYPERLINK("https://docs.google.com/open?id=0B5-iztf28QNJd3B5UUlNM2hfUGM","Solenoid-free Start-up and Ramp-up (SR) - Taylor - Low Plasma Current, Fully Non-Inductive, HHFW H-Mode Plasmas")</f>
        <v>Solenoid-free Start-up and Ramp-up (SR) - Taylor - Low Plasma Current, Fully Non-Inductive, HHFW H-Mode Plasmas</v>
      </c>
      <c r="W42" s="20" t="s">
        <v>564</v>
      </c>
    </row>
    <row r="43">
      <c r="A43" s="17">
        <v>42052.5892611574</v>
      </c>
      <c r="B43" s="13" t="s">
        <v>565</v>
      </c>
      <c r="C43" s="13" t="s">
        <v>541</v>
      </c>
      <c r="D43" s="13" t="s">
        <v>542</v>
      </c>
      <c r="E43" s="13" t="s">
        <v>543</v>
      </c>
      <c r="F43" s="13" t="s">
        <v>566</v>
      </c>
      <c r="G43" s="13" t="s">
        <v>28</v>
      </c>
      <c r="H43" s="13" t="s">
        <v>29</v>
      </c>
      <c r="I43" s="13" t="s">
        <v>545</v>
      </c>
      <c r="J43" s="13" t="s">
        <v>546</v>
      </c>
      <c r="K43" s="13">
        <v>1.5</v>
      </c>
      <c r="L43" s="13">
        <v>0.0</v>
      </c>
      <c r="M43" s="13">
        <v>1.0</v>
      </c>
      <c r="N43" s="13" t="s">
        <v>567</v>
      </c>
      <c r="O43" s="13" t="s">
        <v>568</v>
      </c>
      <c r="P43" s="13" t="s">
        <v>569</v>
      </c>
      <c r="Q43" s="18" t="s">
        <v>570</v>
      </c>
      <c r="R43" s="19" t="str">
        <f>HYPERLINK("https://docs.google.com/open?id=0B5-iztf28QNJMlpSdnRFMlk2d3c","Solenoid-free Start-up and Ramp-up (SR) - Taylor - HHFW Ramp-up of Inductively Initiated Plasma from 250 to 400 kA")</f>
        <v>Solenoid-free Start-up and Ramp-up (SR) - Taylor - HHFW Ramp-up of Inductively Initiated Plasma from 250 to 400 kA</v>
      </c>
      <c r="S43" s="20" t="s">
        <v>571</v>
      </c>
      <c r="T43" s="21" t="s">
        <v>572</v>
      </c>
      <c r="U43" s="18" t="s">
        <v>573</v>
      </c>
      <c r="V43" s="19" t="str">
        <f>HYPERLINK("https://docs.google.com/open?id=0B5-iztf28QNJM183VXcxOTZMd1k","Solenoid-free Start-up and Ramp-up (SR) - Taylor - HHFW Ramp-up of Inductively Initiated Plasma from 250 to 400 kA")</f>
        <v>Solenoid-free Start-up and Ramp-up (SR) - Taylor - HHFW Ramp-up of Inductively Initiated Plasma from 250 to 400 kA</v>
      </c>
      <c r="W43" s="20" t="s">
        <v>574</v>
      </c>
    </row>
    <row r="44">
      <c r="A44" s="17">
        <v>42045.42544939815</v>
      </c>
      <c r="B44" s="13" t="s">
        <v>575</v>
      </c>
      <c r="C44" s="13" t="s">
        <v>576</v>
      </c>
      <c r="D44" s="13" t="s">
        <v>577</v>
      </c>
      <c r="E44" s="13" t="s">
        <v>578</v>
      </c>
      <c r="F44" s="13" t="s">
        <v>579</v>
      </c>
      <c r="G44" s="13" t="s">
        <v>28</v>
      </c>
      <c r="H44" s="13" t="s">
        <v>29</v>
      </c>
      <c r="I44" s="13" t="s">
        <v>580</v>
      </c>
      <c r="J44" s="13" t="s">
        <v>581</v>
      </c>
      <c r="K44" s="13">
        <v>0.5</v>
      </c>
      <c r="L44" s="13">
        <v>0.0</v>
      </c>
      <c r="M44" s="13">
        <v>0.25</v>
      </c>
      <c r="N44" s="13" t="s">
        <v>582</v>
      </c>
      <c r="O44" s="13" t="s">
        <v>583</v>
      </c>
      <c r="P44" s="13" t="s">
        <v>584</v>
      </c>
      <c r="Q44" s="18" t="s">
        <v>585</v>
      </c>
      <c r="R44" s="19" t="str">
        <f>HYPERLINK("https://docs.google.com/open?id=0B5-iztf28QNJREVTV1VWeU1OWG8","Divertor and Scrape-off-layer (DS) - Stotler - ENDD Midplane Neutral Density Profiles in NSTX-U")</f>
        <v>Divertor and Scrape-off-layer (DS) - Stotler - ENDD Midplane Neutral Density Profiles in NSTX-U</v>
      </c>
      <c r="S44" s="20" t="s">
        <v>586</v>
      </c>
      <c r="T44" s="21" t="s">
        <v>587</v>
      </c>
      <c r="U44" s="18" t="s">
        <v>588</v>
      </c>
      <c r="V44" s="19" t="str">
        <f>HYPERLINK("https://docs.google.com/open?id=0B5-iztf28QNJM2pKc0xhMHZlSEU","Divertor and Scrape-off-layer (DS) - Stotler - ENDD Midplane Neutral Density Profiles in NSTX-U")</f>
        <v>Divertor and Scrape-off-layer (DS) - Stotler - ENDD Midplane Neutral Density Profiles in NSTX-U</v>
      </c>
      <c r="W44" s="20" t="s">
        <v>589</v>
      </c>
    </row>
    <row r="45">
      <c r="A45" s="17">
        <v>42045.53626193287</v>
      </c>
      <c r="B45" s="13" t="s">
        <v>590</v>
      </c>
      <c r="C45" s="13" t="s">
        <v>24</v>
      </c>
      <c r="D45" s="13" t="s">
        <v>25</v>
      </c>
      <c r="E45" s="13" t="s">
        <v>26</v>
      </c>
      <c r="F45" s="13" t="s">
        <v>591</v>
      </c>
      <c r="G45" s="13" t="s">
        <v>28</v>
      </c>
      <c r="H45" s="13" t="s">
        <v>29</v>
      </c>
      <c r="I45" s="13" t="s">
        <v>592</v>
      </c>
      <c r="J45" s="13" t="s">
        <v>31</v>
      </c>
      <c r="K45" s="13">
        <v>1.0</v>
      </c>
      <c r="L45" s="13">
        <v>0.0</v>
      </c>
      <c r="M45" s="13">
        <v>0.5</v>
      </c>
      <c r="N45" s="13" t="s">
        <v>593</v>
      </c>
      <c r="O45" s="13" t="s">
        <v>594</v>
      </c>
      <c r="P45" s="13" t="s">
        <v>595</v>
      </c>
      <c r="Q45" s="18" t="s">
        <v>596</v>
      </c>
      <c r="R45" s="19" t="str">
        <f>HYPERLINK("https://docs.google.com/open?id=0B5-iztf28QNJMlVDMi1LaTA5OGM","Particle Control Task Force (PC) - Battaglia - Optimize gas fueling for low density startup and H-mode access")</f>
        <v>Particle Control Task Force (PC) - Battaglia - Optimize gas fueling for low density startup and H-mode access</v>
      </c>
      <c r="S45" s="20" t="s">
        <v>597</v>
      </c>
      <c r="T45" s="21" t="s">
        <v>598</v>
      </c>
      <c r="U45" s="18" t="s">
        <v>599</v>
      </c>
      <c r="V45" s="19" t="str">
        <f>HYPERLINK("https://docs.google.com/open?id=0B5-iztf28QNJa1g0dHJ6YlBfSXM","Particle Control Task Force (PC) - Battaglia - Optimize gas fueling for low density startup and H-mode access")</f>
        <v>Particle Control Task Force (PC) - Battaglia - Optimize gas fueling for low density startup and H-mode access</v>
      </c>
      <c r="W45" s="20" t="s">
        <v>600</v>
      </c>
    </row>
    <row r="46">
      <c r="A46" s="17">
        <v>42045.612898796295</v>
      </c>
      <c r="B46" s="13" t="s">
        <v>601</v>
      </c>
      <c r="C46" s="13" t="s">
        <v>602</v>
      </c>
      <c r="D46" s="13" t="s">
        <v>603</v>
      </c>
      <c r="E46" s="13" t="s">
        <v>604</v>
      </c>
      <c r="F46" s="13" t="s">
        <v>605</v>
      </c>
      <c r="G46" s="13" t="s">
        <v>28</v>
      </c>
      <c r="H46" s="13" t="s">
        <v>29</v>
      </c>
      <c r="I46" s="13" t="s">
        <v>592</v>
      </c>
      <c r="J46" s="13" t="s">
        <v>31</v>
      </c>
      <c r="K46" s="13">
        <v>3.0</v>
      </c>
      <c r="L46" s="13">
        <v>1.0</v>
      </c>
      <c r="M46" s="13">
        <v>2.0</v>
      </c>
      <c r="N46" s="13" t="s">
        <v>606</v>
      </c>
      <c r="O46" s="13" t="s">
        <v>607</v>
      </c>
      <c r="P46" s="13" t="s">
        <v>608</v>
      </c>
      <c r="Q46" s="18" t="s">
        <v>609</v>
      </c>
      <c r="R46" s="19" t="str">
        <f>HYPERLINK("https://docs.google.com/open?id=0B5-iztf28QNJOVRWMHFPSDVCLTA","Particle Control Task Force (PC) - Maingi - Controlled introduction of Lithium into NSTX-U")</f>
        <v>Particle Control Task Force (PC) - Maingi - Controlled introduction of Lithium into NSTX-U</v>
      </c>
      <c r="S46" s="20" t="s">
        <v>610</v>
      </c>
      <c r="T46" s="21" t="s">
        <v>611</v>
      </c>
      <c r="U46" s="18" t="s">
        <v>612</v>
      </c>
      <c r="V46" s="19" t="str">
        <f>HYPERLINK("https://docs.google.com/open?id=0B5-iztf28QNJakRpb0taakpUdUU","Particle Control Task Force (PC) - Maingi - Controlled introduction of Lithium into NSTX-U")</f>
        <v>Particle Control Task Force (PC) - Maingi - Controlled introduction of Lithium into NSTX-U</v>
      </c>
      <c r="W46" s="20" t="s">
        <v>613</v>
      </c>
    </row>
    <row r="47">
      <c r="A47" s="17">
        <v>42048.78163753472</v>
      </c>
      <c r="B47" s="13" t="s">
        <v>614</v>
      </c>
      <c r="C47" s="13" t="s">
        <v>164</v>
      </c>
      <c r="D47" s="13" t="s">
        <v>165</v>
      </c>
      <c r="E47" s="13" t="s">
        <v>166</v>
      </c>
      <c r="F47" s="13" t="s">
        <v>167</v>
      </c>
      <c r="G47" s="13" t="s">
        <v>28</v>
      </c>
      <c r="H47" s="13" t="s">
        <v>168</v>
      </c>
      <c r="I47" s="13" t="s">
        <v>169</v>
      </c>
      <c r="J47" s="13" t="s">
        <v>615</v>
      </c>
      <c r="K47" s="13">
        <v>1.0</v>
      </c>
      <c r="L47" s="13">
        <v>0.0</v>
      </c>
      <c r="M47" s="13">
        <v>1.0</v>
      </c>
      <c r="N47" s="13" t="s">
        <v>616</v>
      </c>
      <c r="O47" s="13" t="s">
        <v>617</v>
      </c>
      <c r="P47" s="13" t="s">
        <v>618</v>
      </c>
      <c r="Q47" s="18" t="s">
        <v>619</v>
      </c>
      <c r="R47" s="19" t="str">
        <f>HYPERLINK("https://docs.google.com/open?id=0B5-iztf28QNJeWF3a1RYNzFzREE","Macroscopic Stability (MS) - La Haye - Assess betaN and qmin n=1 tearing stability limits at the increased aspect ratio of NSTX-U")</f>
        <v>Macroscopic Stability (MS) - La Haye - Assess betaN and qmin n=1 tearing stability limits at the increased aspect ratio of NSTX-U</v>
      </c>
      <c r="S47" s="20" t="s">
        <v>620</v>
      </c>
      <c r="T47" s="21" t="s">
        <v>621</v>
      </c>
      <c r="U47" s="18" t="s">
        <v>622</v>
      </c>
      <c r="V47" s="19" t="str">
        <f>HYPERLINK("https://docs.google.com/open?id=0B5-iztf28QNJb25YOGtCcmRlWHc","Macroscopic Stability (MS) - La Haye - Assess betaN and qmin n=1 tearing stability limits at the increased aspect ratio of NSTX-U")</f>
        <v>Macroscopic Stability (MS) - La Haye - Assess betaN and qmin n=1 tearing stability limits at the increased aspect ratio of NSTX-U</v>
      </c>
      <c r="W47" s="20" t="s">
        <v>623</v>
      </c>
    </row>
    <row r="48">
      <c r="A48" s="17">
        <v>42045.82784046296</v>
      </c>
      <c r="B48" s="13" t="s">
        <v>624</v>
      </c>
      <c r="C48" s="13" t="s">
        <v>625</v>
      </c>
      <c r="D48" s="13" t="s">
        <v>626</v>
      </c>
      <c r="E48" s="13" t="s">
        <v>627</v>
      </c>
      <c r="F48" s="13" t="s">
        <v>628</v>
      </c>
      <c r="G48" s="13" t="s">
        <v>28</v>
      </c>
      <c r="H48" s="13" t="s">
        <v>29</v>
      </c>
      <c r="I48" s="13" t="s">
        <v>545</v>
      </c>
      <c r="J48" s="13" t="s">
        <v>629</v>
      </c>
      <c r="K48" s="13">
        <v>2.0</v>
      </c>
      <c r="L48" s="13">
        <v>0.0</v>
      </c>
      <c r="M48" s="13">
        <v>2.0</v>
      </c>
      <c r="N48" s="13" t="s">
        <v>630</v>
      </c>
      <c r="O48" s="13" t="s">
        <v>631</v>
      </c>
      <c r="P48" s="13" t="s">
        <v>632</v>
      </c>
      <c r="Q48" s="18" t="s">
        <v>633</v>
      </c>
      <c r="R48" s="19" t="str">
        <f>HYPERLINK("https://docs.google.com/open?id=0B5-iztf28QNJTFZYUHRWQXc1RGM","Solenoid-free Start-up and Ramp-up (SR) - Poli - NBI overdrive")</f>
        <v>Solenoid-free Start-up and Ramp-up (SR) - Poli - NBI overdrive</v>
      </c>
      <c r="S48" s="20" t="s">
        <v>634</v>
      </c>
      <c r="T48" s="21" t="s">
        <v>635</v>
      </c>
      <c r="U48" s="18" t="s">
        <v>636</v>
      </c>
      <c r="V48" s="19" t="str">
        <f>HYPERLINK("https://docs.google.com/open?id=0B5-iztf28QNJRElfZlBWZDh5MXM","Solenoid-free Start-up and Ramp-up (SR) - Poli - NBI overdrive")</f>
        <v>Solenoid-free Start-up and Ramp-up (SR) - Poli - NBI overdrive</v>
      </c>
      <c r="W48" s="20" t="s">
        <v>637</v>
      </c>
    </row>
    <row r="49">
      <c r="A49" s="17">
        <v>42045.833033495364</v>
      </c>
      <c r="B49" s="13" t="s">
        <v>638</v>
      </c>
      <c r="C49" s="13" t="s">
        <v>625</v>
      </c>
      <c r="D49" s="13" t="s">
        <v>626</v>
      </c>
      <c r="E49" s="13" t="s">
        <v>627</v>
      </c>
      <c r="F49" s="13" t="s">
        <v>639</v>
      </c>
      <c r="G49" s="13" t="s">
        <v>28</v>
      </c>
      <c r="H49" s="13" t="s">
        <v>29</v>
      </c>
      <c r="I49" s="13" t="s">
        <v>60</v>
      </c>
      <c r="J49" s="13" t="s">
        <v>629</v>
      </c>
      <c r="K49" s="13">
        <v>1.0</v>
      </c>
      <c r="L49" s="13">
        <v>0.0</v>
      </c>
      <c r="M49" s="13">
        <v>1.0</v>
      </c>
      <c r="N49" s="13" t="s">
        <v>640</v>
      </c>
      <c r="O49" s="13" t="s">
        <v>641</v>
      </c>
      <c r="P49" s="13" t="s">
        <v>642</v>
      </c>
      <c r="Q49" s="18" t="s">
        <v>643</v>
      </c>
      <c r="R49" s="19" t="str">
        <f>HYPERLINK("https://docs.google.com/open?id=0B5-iztf28QNJSUhyYTViNWd6S1U","Advanced Scenarios and Control (ASC) - Poli - NB sustainment")</f>
        <v>Advanced Scenarios and Control (ASC) - Poli - NB sustainment</v>
      </c>
      <c r="S49" s="20" t="s">
        <v>644</v>
      </c>
      <c r="T49" s="21" t="s">
        <v>645</v>
      </c>
      <c r="U49" s="18" t="s">
        <v>646</v>
      </c>
      <c r="V49" s="19" t="str">
        <f>HYPERLINK("https://docs.google.com/open?id=0B5-iztf28QNJMzg5YjVzR00tLVE","Advanced Scenarios and Control (ASC) - Poli - NB sustainment")</f>
        <v>Advanced Scenarios and Control (ASC) - Poli - NB sustainment</v>
      </c>
      <c r="W49" s="20" t="s">
        <v>647</v>
      </c>
    </row>
    <row r="50">
      <c r="A50" s="17">
        <v>42046.88219690972</v>
      </c>
      <c r="B50" s="13" t="s">
        <v>648</v>
      </c>
      <c r="C50" s="13" t="s">
        <v>42</v>
      </c>
      <c r="D50" s="13" t="s">
        <v>43</v>
      </c>
      <c r="E50" s="13" t="s">
        <v>44</v>
      </c>
      <c r="F50" s="13" t="s">
        <v>649</v>
      </c>
      <c r="G50" s="13" t="s">
        <v>28</v>
      </c>
      <c r="H50" s="13" t="s">
        <v>29</v>
      </c>
      <c r="I50" s="13" t="s">
        <v>154</v>
      </c>
      <c r="J50" s="13" t="s">
        <v>47</v>
      </c>
      <c r="K50" s="13">
        <v>0.5</v>
      </c>
      <c r="L50" s="13">
        <v>0.0</v>
      </c>
      <c r="M50" s="13">
        <v>0.5</v>
      </c>
      <c r="N50" s="13" t="s">
        <v>650</v>
      </c>
      <c r="O50" s="13" t="s">
        <v>651</v>
      </c>
      <c r="P50" s="13" t="s">
        <v>652</v>
      </c>
      <c r="Q50" s="18" t="s">
        <v>653</v>
      </c>
      <c r="R50" s="19" t="str">
        <f>HYPERLINK("https://docs.google.com/open?id=0B5-iztf28QNJUkZEa3hXSWdfTTg","Cross-cutting and Enabling (CC) - Gerhardt - Soft-Limiting of Coil Forces and Stresses")</f>
        <v>Cross-cutting and Enabling (CC) - Gerhardt - Soft-Limiting of Coil Forces and Stresses</v>
      </c>
      <c r="S50" s="20" t="s">
        <v>654</v>
      </c>
      <c r="T50" s="13" t="s">
        <v>655</v>
      </c>
      <c r="U50" s="18" t="s">
        <v>656</v>
      </c>
      <c r="V50" s="19" t="str">
        <f>HYPERLINK("https://docs.google.com/open?id=0B5-iztf28QNJeDRWODAxeGFJTDA","Cross-cutting and Enabling (CC) - Gerhardt - Soft-Limiting of Coil Forces and Stresses")</f>
        <v>Cross-cutting and Enabling (CC) - Gerhardt - Soft-Limiting of Coil Forces and Stresses</v>
      </c>
      <c r="W50" s="20" t="s">
        <v>657</v>
      </c>
    </row>
    <row r="51">
      <c r="A51" s="17">
        <v>42048.592793854164</v>
      </c>
      <c r="B51" s="13" t="s">
        <v>658</v>
      </c>
      <c r="C51" s="13" t="s">
        <v>659</v>
      </c>
      <c r="D51" s="13" t="s">
        <v>660</v>
      </c>
      <c r="E51" s="13" t="s">
        <v>661</v>
      </c>
      <c r="F51" s="13" t="s">
        <v>662</v>
      </c>
      <c r="G51" s="13" t="s">
        <v>28</v>
      </c>
      <c r="H51" s="13" t="s">
        <v>29</v>
      </c>
      <c r="I51" s="13" t="s">
        <v>663</v>
      </c>
      <c r="J51" s="13" t="s">
        <v>664</v>
      </c>
      <c r="K51" s="13">
        <v>3.0</v>
      </c>
      <c r="L51" s="13">
        <v>1.5</v>
      </c>
      <c r="M51" s="13">
        <v>3.0</v>
      </c>
      <c r="N51" s="13" t="s">
        <v>665</v>
      </c>
      <c r="O51" s="13" t="s">
        <v>666</v>
      </c>
      <c r="P51" s="13" t="s">
        <v>667</v>
      </c>
      <c r="Q51" s="18" t="s">
        <v>668</v>
      </c>
      <c r="R51" s="19" t="str">
        <f>HYPERLINK("https://docs.google.com/open?id=0B5-iztf28QNJWlR2N01nSVJJVFE","Turbulence and Transport (TT) - Kaye - Confinement scaling")</f>
        <v>Turbulence and Transport (TT) - Kaye - Confinement scaling</v>
      </c>
      <c r="S51" s="20" t="s">
        <v>669</v>
      </c>
      <c r="T51" s="13" t="s">
        <v>670</v>
      </c>
      <c r="U51" s="18" t="s">
        <v>671</v>
      </c>
      <c r="V51" s="19" t="str">
        <f>HYPERLINK("https://docs.google.com/open?id=0B5-iztf28QNJUHhSRXUyeXNCRGc","Turbulence and Transport (TT) - Kaye - Confinement scaling")</f>
        <v>Turbulence and Transport (TT) - Kaye - Confinement scaling</v>
      </c>
      <c r="W51" s="20" t="s">
        <v>672</v>
      </c>
    </row>
    <row r="52">
      <c r="A52" s="17">
        <v>42048.69557174769</v>
      </c>
      <c r="B52" s="13" t="s">
        <v>673</v>
      </c>
      <c r="C52" s="13" t="s">
        <v>348</v>
      </c>
      <c r="D52" s="13" t="s">
        <v>349</v>
      </c>
      <c r="E52" s="13" t="s">
        <v>350</v>
      </c>
      <c r="F52" s="13" t="s">
        <v>674</v>
      </c>
      <c r="G52" s="13" t="s">
        <v>28</v>
      </c>
      <c r="H52" s="13" t="s">
        <v>337</v>
      </c>
      <c r="I52" s="13" t="s">
        <v>169</v>
      </c>
      <c r="J52" s="13" t="s">
        <v>675</v>
      </c>
      <c r="K52" s="13">
        <v>1.0</v>
      </c>
      <c r="L52" s="13">
        <v>0.0</v>
      </c>
      <c r="M52" s="13">
        <v>0.5</v>
      </c>
      <c r="N52" s="13" t="s">
        <v>676</v>
      </c>
      <c r="O52" s="13" t="s">
        <v>677</v>
      </c>
      <c r="P52" s="13" t="s">
        <v>678</v>
      </c>
      <c r="Q52" s="18" t="s">
        <v>679</v>
      </c>
      <c r="R52" s="19" t="str">
        <f>HYPERLINK("https://docs.google.com/open?id=0B5-iztf28QNJSWE5eDA3dnhxTzA","Macroscopic Stability (MS) - Berkery - RWM Stabilization Dependence on Neutral Beam Deposition Angle")</f>
        <v>Macroscopic Stability (MS) - Berkery - RWM Stabilization Dependence on Neutral Beam Deposition Angle</v>
      </c>
      <c r="S52" s="20" t="s">
        <v>680</v>
      </c>
      <c r="T52" s="13" t="s">
        <v>681</v>
      </c>
      <c r="U52" s="18" t="s">
        <v>682</v>
      </c>
      <c r="V52" s="19" t="str">
        <f>HYPERLINK("https://docs.google.com/open?id=0B5-iztf28QNJNjlEX1JPODV5blk","Macroscopic Stability (MS) - Berkery - RWM Stabilization Dependence on Neutral Beam Deposition Angle")</f>
        <v>Macroscopic Stability (MS) - Berkery - RWM Stabilization Dependence on Neutral Beam Deposition Angle</v>
      </c>
      <c r="W52" s="20" t="s">
        <v>683</v>
      </c>
    </row>
    <row r="53">
      <c r="A53" s="17">
        <v>42048.701488356484</v>
      </c>
      <c r="B53" s="13" t="s">
        <v>684</v>
      </c>
      <c r="C53" s="13" t="s">
        <v>348</v>
      </c>
      <c r="D53" s="13" t="s">
        <v>349</v>
      </c>
      <c r="E53" s="13" t="s">
        <v>350</v>
      </c>
      <c r="F53" s="13" t="s">
        <v>685</v>
      </c>
      <c r="G53" s="13" t="s">
        <v>28</v>
      </c>
      <c r="H53" s="13" t="s">
        <v>337</v>
      </c>
      <c r="I53" s="13" t="s">
        <v>169</v>
      </c>
      <c r="J53" s="13" t="s">
        <v>686</v>
      </c>
      <c r="K53" s="13">
        <v>1.0</v>
      </c>
      <c r="L53" s="13">
        <v>0.0</v>
      </c>
      <c r="M53" s="13">
        <v>0.5</v>
      </c>
      <c r="N53" s="13" t="s">
        <v>687</v>
      </c>
      <c r="O53" s="13" t="s">
        <v>688</v>
      </c>
      <c r="P53" s="13" t="s">
        <v>689</v>
      </c>
      <c r="Q53" s="18" t="s">
        <v>690</v>
      </c>
      <c r="R53" s="19" t="str">
        <f>HYPERLINK("https://docs.google.com/open?id=0B5-iztf28QNJSEY0VENzbllMdDA","Macroscopic Stability (MS) - Berkery - RWM Stabilization Physics at Reduced Collisionality")</f>
        <v>Macroscopic Stability (MS) - Berkery - RWM Stabilization Physics at Reduced Collisionality</v>
      </c>
      <c r="S53" s="20" t="s">
        <v>691</v>
      </c>
      <c r="T53" s="13" t="s">
        <v>692</v>
      </c>
      <c r="U53" s="18" t="s">
        <v>693</v>
      </c>
      <c r="V53" s="18" t="str">
        <f>HYPERLINK("https://docs.google.com/open?id=0B5-iztf28QNJUDRpN2k4LTllSVk","Macroscopic Stability (MS) - Berkery - RWM Stabilization Physics at Reduced Collisionality")</f>
        <v>Macroscopic Stability (MS) - Berkery - RWM Stabilization Physics at Reduced Collisionality</v>
      </c>
      <c r="W53" s="20" t="s">
        <v>694</v>
      </c>
    </row>
    <row r="54">
      <c r="A54" s="17">
        <v>42048.812257743055</v>
      </c>
      <c r="B54" s="13" t="s">
        <v>695</v>
      </c>
      <c r="C54" s="13" t="s">
        <v>333</v>
      </c>
      <c r="D54" s="13" t="s">
        <v>334</v>
      </c>
      <c r="E54" s="13" t="s">
        <v>335</v>
      </c>
      <c r="F54" s="13" t="s">
        <v>336</v>
      </c>
      <c r="G54" s="13" t="s">
        <v>28</v>
      </c>
      <c r="H54" s="13" t="s">
        <v>337</v>
      </c>
      <c r="I54" s="13" t="s">
        <v>169</v>
      </c>
      <c r="J54" s="13" t="s">
        <v>696</v>
      </c>
      <c r="K54" s="13">
        <v>0.5</v>
      </c>
      <c r="L54" s="13">
        <v>0.0</v>
      </c>
      <c r="M54" s="13">
        <v>0.5</v>
      </c>
      <c r="N54" s="13" t="s">
        <v>697</v>
      </c>
      <c r="O54" s="13" t="s">
        <v>698</v>
      </c>
      <c r="P54" s="13" t="s">
        <v>699</v>
      </c>
      <c r="Q54" s="18" t="s">
        <v>700</v>
      </c>
      <c r="R54" s="19" t="str">
        <f>HYPERLINK("https://docs.google.com/open?id=0B5-iztf28QNJZ0c4elBYdWgyZWM","Cross-cutting and Enabling (CC) - Sabbagh - RWM PID control optimization based on theory and experiment")</f>
        <v>Cross-cutting and Enabling (CC) - Sabbagh - RWM PID control optimization based on theory and experiment</v>
      </c>
      <c r="S54" s="20" t="s">
        <v>701</v>
      </c>
      <c r="T54" s="13" t="s">
        <v>702</v>
      </c>
      <c r="U54" s="18" t="s">
        <v>703</v>
      </c>
      <c r="V54" s="19" t="str">
        <f>HYPERLINK("https://docs.google.com/open?id=0B5-iztf28QNJVVRmelo1RlBRZzA","Macroscopic Stability (MS) - Sabbagh - RWM PID control optimization based on theory and experiment")</f>
        <v>Macroscopic Stability (MS) - Sabbagh - RWM PID control optimization based on theory and experiment</v>
      </c>
      <c r="W54" s="20" t="s">
        <v>704</v>
      </c>
    </row>
    <row r="55">
      <c r="A55" s="17">
        <v>42048.78494222222</v>
      </c>
      <c r="B55" s="13" t="s">
        <v>705</v>
      </c>
      <c r="C55" s="13" t="s">
        <v>333</v>
      </c>
      <c r="D55" s="13" t="s">
        <v>334</v>
      </c>
      <c r="E55" s="13" t="s">
        <v>335</v>
      </c>
      <c r="F55" s="13" t="s">
        <v>706</v>
      </c>
      <c r="G55" s="13" t="s">
        <v>28</v>
      </c>
      <c r="H55" s="13" t="s">
        <v>337</v>
      </c>
      <c r="I55" s="13" t="s">
        <v>169</v>
      </c>
      <c r="J55" s="13" t="s">
        <v>696</v>
      </c>
      <c r="K55" s="13">
        <v>1.5</v>
      </c>
      <c r="L55" s="13">
        <v>0.0</v>
      </c>
      <c r="M55" s="13">
        <v>1.0</v>
      </c>
      <c r="N55" s="13" t="s">
        <v>707</v>
      </c>
      <c r="O55" s="13" t="s">
        <v>708</v>
      </c>
      <c r="P55" s="13" t="s">
        <v>709</v>
      </c>
      <c r="Q55" s="18" t="s">
        <v>710</v>
      </c>
      <c r="R55" s="19" t="str">
        <f>HYPERLINK("https://docs.google.com/open?id=0B5-iztf28QNJOUloMXl4d01vS2M","Macroscopic Stability (MS) - Sabbagh - RWM state space control physics")</f>
        <v>Macroscopic Stability (MS) - Sabbagh - RWM state space control physics</v>
      </c>
      <c r="S55" s="20" t="s">
        <v>711</v>
      </c>
      <c r="T55" s="13" t="s">
        <v>712</v>
      </c>
      <c r="U55" s="18" t="s">
        <v>713</v>
      </c>
      <c r="V55" s="19" t="str">
        <f>HYPERLINK("https://docs.google.com/open?id=0B5-iztf28QNJVGxXRjNZQkpsQUk","Macroscopic Stability (MS) - Sabbagh - RWM state space control physics")</f>
        <v>Macroscopic Stability (MS) - Sabbagh - RWM state space control physics</v>
      </c>
      <c r="W55" s="20" t="s">
        <v>714</v>
      </c>
    </row>
    <row r="56">
      <c r="A56" s="17">
        <v>42048.79507028935</v>
      </c>
      <c r="B56" s="13" t="s">
        <v>715</v>
      </c>
      <c r="C56" s="13" t="s">
        <v>333</v>
      </c>
      <c r="D56" s="13" t="s">
        <v>334</v>
      </c>
      <c r="E56" s="13" t="s">
        <v>335</v>
      </c>
      <c r="F56" s="13" t="s">
        <v>716</v>
      </c>
      <c r="G56" s="13" t="s">
        <v>28</v>
      </c>
      <c r="H56" s="13" t="s">
        <v>337</v>
      </c>
      <c r="I56" s="13" t="s">
        <v>169</v>
      </c>
      <c r="J56" s="13" t="s">
        <v>717</v>
      </c>
      <c r="K56" s="13">
        <v>1.0</v>
      </c>
      <c r="L56" s="13">
        <v>0.0</v>
      </c>
      <c r="M56" s="13">
        <v>1.0</v>
      </c>
      <c r="N56" s="13" t="s">
        <v>718</v>
      </c>
      <c r="O56" s="13" t="s">
        <v>719</v>
      </c>
      <c r="P56" s="13" t="s">
        <v>720</v>
      </c>
      <c r="Q56" s="18" t="s">
        <v>721</v>
      </c>
      <c r="R56" s="19" t="str">
        <f>HYPERLINK("https://docs.google.com/open?id=0B5-iztf28QNJYThlTVpBdGtENzA","Macroscopic Stability (MS) - Sabbagh - Neoclassical toroidal viscosity at reduced collisionality (independent coil control)")</f>
        <v>Macroscopic Stability (MS) - Sabbagh - Neoclassical toroidal viscosity at reduced collisionality (independent coil control)</v>
      </c>
      <c r="S56" s="20" t="s">
        <v>722</v>
      </c>
      <c r="T56" s="13" t="s">
        <v>723</v>
      </c>
      <c r="U56" s="18" t="s">
        <v>724</v>
      </c>
      <c r="V56" s="19" t="str">
        <f>HYPERLINK("https://docs.google.com/open?id=0B5-iztf28QNJSVNsbkdLRE1EaFU","Macroscopic Stability (MS) - Sabbagh - Neoclassical toroidal viscosity at reduced collisionality (independent coil control)")</f>
        <v>Macroscopic Stability (MS) - Sabbagh - Neoclassical toroidal viscosity at reduced collisionality (independent coil control)</v>
      </c>
      <c r="W56" s="20" t="s">
        <v>725</v>
      </c>
    </row>
    <row r="57">
      <c r="A57" s="17">
        <v>42048.81636739583</v>
      </c>
      <c r="B57" s="13" t="s">
        <v>726</v>
      </c>
      <c r="C57" s="13" t="s">
        <v>333</v>
      </c>
      <c r="D57" s="13" t="s">
        <v>334</v>
      </c>
      <c r="E57" s="13" t="s">
        <v>335</v>
      </c>
      <c r="F57" s="13" t="s">
        <v>716</v>
      </c>
      <c r="G57" s="13" t="s">
        <v>28</v>
      </c>
      <c r="H57" s="13" t="s">
        <v>337</v>
      </c>
      <c r="I57" s="13" t="s">
        <v>169</v>
      </c>
      <c r="J57" s="13" t="s">
        <v>727</v>
      </c>
      <c r="K57" s="13">
        <v>1.0</v>
      </c>
      <c r="L57" s="13">
        <v>0.0</v>
      </c>
      <c r="M57" s="13">
        <v>0.5</v>
      </c>
      <c r="N57" s="13" t="s">
        <v>728</v>
      </c>
      <c r="O57" s="13" t="s">
        <v>729</v>
      </c>
      <c r="P57" s="13" t="s">
        <v>730</v>
      </c>
      <c r="Q57" s="18" t="s">
        <v>731</v>
      </c>
      <c r="R57" s="19" t="str">
        <f>HYPERLINK("https://docs.google.com/open?id=0B5-iztf28QNJQzhtUGJ3YkNlRFk","Macroscopic Stability (MS) - Sabbagh - NTV steady-state offset velocity at reduced torque with HHFW")</f>
        <v>Macroscopic Stability (MS) - Sabbagh - NTV steady-state offset velocity at reduced torque with HHFW</v>
      </c>
      <c r="S57" s="20" t="s">
        <v>732</v>
      </c>
      <c r="T57" s="13" t="s">
        <v>733</v>
      </c>
      <c r="U57" s="18" t="s">
        <v>734</v>
      </c>
      <c r="V57" s="19" t="str">
        <f>HYPERLINK("https://docs.google.com/open?id=0B5-iztf28QNJLXVQeEJSMk40Rlk","Macroscopic Stability (MS) - Sabbagh - NTV steady-state offset velocity at reduced torque with HHFW")</f>
        <v>Macroscopic Stability (MS) - Sabbagh - NTV steady-state offset velocity at reduced torque with HHFW</v>
      </c>
      <c r="W57" s="20" t="s">
        <v>735</v>
      </c>
    </row>
    <row r="58">
      <c r="A58" s="17">
        <v>42048.82292950231</v>
      </c>
      <c r="B58" s="13" t="s">
        <v>736</v>
      </c>
      <c r="C58" s="13" t="s">
        <v>737</v>
      </c>
      <c r="D58" s="13" t="s">
        <v>738</v>
      </c>
      <c r="E58" s="13" t="s">
        <v>739</v>
      </c>
      <c r="F58" s="13" t="s">
        <v>740</v>
      </c>
      <c r="G58" s="13" t="s">
        <v>28</v>
      </c>
      <c r="H58" s="13" t="s">
        <v>337</v>
      </c>
      <c r="I58" s="13" t="s">
        <v>169</v>
      </c>
      <c r="J58" s="13" t="s">
        <v>741</v>
      </c>
      <c r="K58" s="13">
        <v>1.0</v>
      </c>
      <c r="L58" s="13">
        <v>0.0</v>
      </c>
      <c r="M58" s="13">
        <v>1.0</v>
      </c>
      <c r="N58" s="13" t="s">
        <v>742</v>
      </c>
      <c r="O58" s="13" t="s">
        <v>743</v>
      </c>
      <c r="P58" s="13" t="s">
        <v>744</v>
      </c>
      <c r="Q58" s="18" t="s">
        <v>745</v>
      </c>
      <c r="R58" s="19" t="str">
        <f>HYPERLINK("https://docs.google.com/open?id=0B5-iztf28QNJQzYtZ3V1RDVNWDQ","Macroscopic Stability (MS) - Park - RWM control physics with partial control coil coverage (JT-60SA)")</f>
        <v>Macroscopic Stability (MS) - Park - RWM control physics with partial control coil coverage (JT-60SA)</v>
      </c>
      <c r="S58" s="20" t="s">
        <v>746</v>
      </c>
      <c r="T58" s="13" t="s">
        <v>747</v>
      </c>
      <c r="U58" s="18" t="s">
        <v>748</v>
      </c>
      <c r="V58" s="19" t="str">
        <f>HYPERLINK("https://docs.google.com/open?id=0B5-iztf28QNJQUg2S1pjX3lqQXc","Macroscopic Stability (MS) - Park - RWM control physics with partial control coil coverage (JT-60SA)")</f>
        <v>Macroscopic Stability (MS) - Park - RWM control physics with partial control coil coverage (JT-60SA)</v>
      </c>
      <c r="W58" s="20" t="s">
        <v>749</v>
      </c>
    </row>
    <row r="59">
      <c r="A59" s="17">
        <v>42048.8256949537</v>
      </c>
      <c r="B59" s="13" t="s">
        <v>750</v>
      </c>
      <c r="C59" s="13" t="s">
        <v>737</v>
      </c>
      <c r="D59" s="13" t="s">
        <v>738</v>
      </c>
      <c r="E59" s="13" t="s">
        <v>739</v>
      </c>
      <c r="F59" s="13" t="s">
        <v>740</v>
      </c>
      <c r="G59" s="13" t="s">
        <v>28</v>
      </c>
      <c r="H59" s="13" t="s">
        <v>337</v>
      </c>
      <c r="I59" s="13" t="s">
        <v>169</v>
      </c>
      <c r="J59" s="13" t="s">
        <v>741</v>
      </c>
      <c r="K59" s="13">
        <v>1.0</v>
      </c>
      <c r="L59" s="13">
        <v>0.0</v>
      </c>
      <c r="M59" s="13">
        <v>1.0</v>
      </c>
      <c r="N59" s="13" t="s">
        <v>751</v>
      </c>
      <c r="O59" s="13" t="s">
        <v>752</v>
      </c>
      <c r="P59" s="13" t="s">
        <v>753</v>
      </c>
      <c r="Q59" s="18" t="s">
        <v>754</v>
      </c>
      <c r="R59" s="19" t="str">
        <f>HYPERLINK("https://docs.google.com/open?id=0B5-iztf28QNJS1BTXzIzQnN6alk","Macroscopic Stability (MS) - Park - RWM state space active control at reduced plasma rotation")</f>
        <v>Macroscopic Stability (MS) - Park - RWM state space active control at reduced plasma rotation</v>
      </c>
      <c r="S59" s="20" t="s">
        <v>755</v>
      </c>
      <c r="T59" s="13" t="s">
        <v>756</v>
      </c>
      <c r="U59" s="18" t="s">
        <v>757</v>
      </c>
      <c r="V59" s="19" t="str">
        <f>HYPERLINK("https://docs.google.com/open?id=0B5-iztf28QNJNmNncUswbWZiVzQ","Macroscopic Stability (MS) - Park - RWM state space active control at reduced plasma rotation")</f>
        <v>Macroscopic Stability (MS) - Park - RWM state space active control at reduced plasma rotation</v>
      </c>
      <c r="W59" s="20" t="s">
        <v>758</v>
      </c>
    </row>
    <row r="60">
      <c r="A60" s="17">
        <v>42048.87688871528</v>
      </c>
      <c r="B60" s="13" t="s">
        <v>759</v>
      </c>
      <c r="C60" s="13" t="s">
        <v>333</v>
      </c>
      <c r="D60" s="13" t="s">
        <v>334</v>
      </c>
      <c r="E60" s="13" t="s">
        <v>335</v>
      </c>
      <c r="F60" s="13" t="s">
        <v>760</v>
      </c>
      <c r="G60" s="13" t="s">
        <v>28</v>
      </c>
      <c r="H60" s="13" t="s">
        <v>337</v>
      </c>
      <c r="I60" s="13" t="s">
        <v>169</v>
      </c>
      <c r="J60" s="13" t="s">
        <v>696</v>
      </c>
      <c r="K60" s="13">
        <v>1.0</v>
      </c>
      <c r="L60" s="13">
        <v>0.0</v>
      </c>
      <c r="M60" s="13">
        <v>1.0</v>
      </c>
      <c r="N60" s="13" t="s">
        <v>761</v>
      </c>
      <c r="O60" s="13" t="s">
        <v>762</v>
      </c>
      <c r="P60" s="13" t="s">
        <v>763</v>
      </c>
      <c r="Q60" s="18" t="s">
        <v>764</v>
      </c>
      <c r="R60" s="19" t="str">
        <f>HYPERLINK("https://docs.google.com/open?id=0B5-iztf28QNJVXdDRmMzMkgtQ3M","Macroscopic Stability (MS) - Sabbagh - Multi-mode Error Field Correction with the RWM State-Space Controller")</f>
        <v>Macroscopic Stability (MS) - Sabbagh - Multi-mode Error Field Correction with the RWM State-Space Controller</v>
      </c>
      <c r="S60" s="20" t="s">
        <v>765</v>
      </c>
      <c r="T60" s="13" t="s">
        <v>766</v>
      </c>
      <c r="U60" s="18" t="s">
        <v>767</v>
      </c>
      <c r="V60" s="19" t="str">
        <f>HYPERLINK("https://docs.google.com/open?id=0B5-iztf28QNJWXdmUEhOVnktV3M","Macroscopic Stability (MS) - Sabbagh - Multi-mode Error Field Correction with the RWM State-Space Controller")</f>
        <v>Macroscopic Stability (MS) - Sabbagh - Multi-mode Error Field Correction with the RWM State-Space Controller</v>
      </c>
      <c r="W60" s="20" t="s">
        <v>768</v>
      </c>
    </row>
    <row r="61">
      <c r="A61" s="17">
        <v>42055.00484540509</v>
      </c>
      <c r="B61" s="13" t="s">
        <v>769</v>
      </c>
      <c r="C61" s="13" t="s">
        <v>770</v>
      </c>
      <c r="D61" s="13" t="s">
        <v>771</v>
      </c>
      <c r="E61" s="13" t="s">
        <v>772</v>
      </c>
      <c r="F61" s="13" t="s">
        <v>773</v>
      </c>
      <c r="G61" s="13" t="s">
        <v>28</v>
      </c>
      <c r="H61" s="13" t="s">
        <v>29</v>
      </c>
      <c r="I61" s="13" t="s">
        <v>169</v>
      </c>
      <c r="J61" s="13" t="s">
        <v>727</v>
      </c>
      <c r="K61" s="13">
        <v>1.5</v>
      </c>
      <c r="L61" s="13">
        <v>0.0</v>
      </c>
      <c r="M61" s="13">
        <v>1.0</v>
      </c>
      <c r="N61" s="13" t="s">
        <v>774</v>
      </c>
      <c r="O61" s="13" t="s">
        <v>775</v>
      </c>
      <c r="P61" s="13" t="s">
        <v>776</v>
      </c>
      <c r="Q61" s="18" t="s">
        <v>777</v>
      </c>
      <c r="R61" s="19" t="str">
        <f>HYPERLINK("https://docs.google.com/open?id=0B5-iztf28QNJR1F5b2RkZUxDamc","Macroscopic Stability (MS) - Menard - Assess NSTX-U ideal-wall limit with 2nd NBI")</f>
        <v>Macroscopic Stability (MS) - Menard - Assess NSTX-U ideal-wall limit with 2nd NBI</v>
      </c>
      <c r="S61" s="20" t="s">
        <v>778</v>
      </c>
      <c r="T61" s="13" t="s">
        <v>779</v>
      </c>
      <c r="U61" s="18" t="s">
        <v>780</v>
      </c>
      <c r="V61" s="19" t="str">
        <f>HYPERLINK("https://docs.google.com/open?id=0B5-iztf28QNJSVRpNk1QRlk2b0U","Macroscopic Stability (MS) - Menard - Assess NSTX-U ideal-wall limit with 2nd NBI")</f>
        <v>Macroscopic Stability (MS) - Menard - Assess NSTX-U ideal-wall limit with 2nd NBI</v>
      </c>
      <c r="W61" s="20" t="s">
        <v>781</v>
      </c>
    </row>
    <row r="62">
      <c r="A62" s="17">
        <v>42053.59366327546</v>
      </c>
      <c r="B62" s="13" t="s">
        <v>782</v>
      </c>
      <c r="C62" s="13" t="s">
        <v>179</v>
      </c>
      <c r="D62" s="13" t="s">
        <v>180</v>
      </c>
      <c r="E62" s="13" t="s">
        <v>181</v>
      </c>
      <c r="F62" s="13" t="s">
        <v>783</v>
      </c>
      <c r="G62" s="13" t="s">
        <v>28</v>
      </c>
      <c r="H62" s="13" t="s">
        <v>29</v>
      </c>
      <c r="I62" s="13" t="s">
        <v>169</v>
      </c>
      <c r="J62" s="13" t="s">
        <v>784</v>
      </c>
      <c r="K62" s="13">
        <v>1.0</v>
      </c>
      <c r="L62" s="13">
        <v>0.0</v>
      </c>
      <c r="M62" s="13">
        <v>0.75</v>
      </c>
      <c r="N62" s="13" t="s">
        <v>785</v>
      </c>
      <c r="O62" s="13" t="s">
        <v>786</v>
      </c>
      <c r="P62" s="13" t="s">
        <v>787</v>
      </c>
      <c r="Q62" s="18" t="s">
        <v>788</v>
      </c>
      <c r="R62" s="19" t="str">
        <f>HYPERLINK("https://docs.google.com/open?id=0B5-iztf28QNJQnAxdW5NX1Y0S3M","Macroscopic Stability (MS) - Stefan - Minimum Value of q_min/q_0 and q shear to avoid core n=1 kink/tearing")</f>
        <v>Macroscopic Stability (MS) - Stefan - Minimum Value of q_min/q_0 and q shear to avoid core n=1 kink/tearing</v>
      </c>
      <c r="S62" s="20" t="s">
        <v>789</v>
      </c>
      <c r="T62" s="13" t="s">
        <v>790</v>
      </c>
      <c r="U62" s="18" t="s">
        <v>791</v>
      </c>
      <c r="V62" s="19" t="str">
        <f>HYPERLINK("https://docs.google.com/open?id=0B5-iztf28QNJMEhHc1ZybDV2MWs","Macroscopic Stability (MS) - Myers - Minimum Value of q_min/q_0 and q shear to avoid core n=1 kink/tearing")</f>
        <v>Macroscopic Stability (MS) - Myers - Minimum Value of q_min/q_0 and q shear to avoid core n=1 kink/tearing</v>
      </c>
      <c r="W62" s="20" t="s">
        <v>792</v>
      </c>
    </row>
    <row r="63">
      <c r="A63" s="17">
        <v>42051.715927106474</v>
      </c>
      <c r="B63" s="13" t="s">
        <v>793</v>
      </c>
      <c r="C63" s="13" t="s">
        <v>602</v>
      </c>
      <c r="D63" s="13" t="s">
        <v>603</v>
      </c>
      <c r="E63" s="13" t="s">
        <v>604</v>
      </c>
      <c r="F63" s="13" t="s">
        <v>794</v>
      </c>
      <c r="G63" s="13" t="s">
        <v>28</v>
      </c>
      <c r="H63" s="13" t="s">
        <v>29</v>
      </c>
      <c r="I63" s="13" t="s">
        <v>235</v>
      </c>
      <c r="J63" s="13" t="s">
        <v>31</v>
      </c>
      <c r="K63" s="13">
        <v>1.0</v>
      </c>
      <c r="L63" s="13">
        <v>0.0</v>
      </c>
      <c r="M63" s="13">
        <v>1.0</v>
      </c>
      <c r="N63" s="13" t="s">
        <v>795</v>
      </c>
      <c r="O63" s="13" t="s">
        <v>796</v>
      </c>
      <c r="P63" s="13" t="s">
        <v>797</v>
      </c>
      <c r="Q63" s="18" t="s">
        <v>798</v>
      </c>
      <c r="R63" s="19" t="str">
        <f>HYPERLINK("https://docs.google.com/open?id=0B5-iztf28QNJUThOMUlRS215TmM","Pedestal Structure and Control (PS) - Maingi - Comparison of H-mode pedestal with RF and NBI")</f>
        <v>Pedestal Structure and Control (PS) - Maingi - Comparison of H-mode pedestal with RF and NBI</v>
      </c>
      <c r="S63" s="20" t="s">
        <v>799</v>
      </c>
      <c r="T63" s="13" t="s">
        <v>800</v>
      </c>
      <c r="U63" s="18" t="s">
        <v>801</v>
      </c>
      <c r="V63" s="19" t="str">
        <f>HYPERLINK("https://docs.google.com/open?id=0B5-iztf28QNJV1NpSkJJN01PUEU","Pedestal Structure and Control (PS) - Maingi - Comparison of H-mode pedestal with RF and NBI")</f>
        <v>Pedestal Structure and Control (PS) - Maingi - Comparison of H-mode pedestal with RF and NBI</v>
      </c>
      <c r="W63" s="20" t="s">
        <v>802</v>
      </c>
    </row>
    <row r="64">
      <c r="A64" s="17">
        <v>42051.89379928241</v>
      </c>
      <c r="B64" s="13" t="s">
        <v>803</v>
      </c>
      <c r="C64" s="13" t="s">
        <v>42</v>
      </c>
      <c r="D64" s="13" t="s">
        <v>43</v>
      </c>
      <c r="E64" s="13" t="s">
        <v>44</v>
      </c>
      <c r="F64" s="13" t="s">
        <v>804</v>
      </c>
      <c r="G64" s="13" t="s">
        <v>28</v>
      </c>
      <c r="H64" s="13" t="s">
        <v>29</v>
      </c>
      <c r="I64" s="13" t="s">
        <v>60</v>
      </c>
      <c r="J64" s="13" t="s">
        <v>805</v>
      </c>
      <c r="K64" s="13">
        <v>1.0</v>
      </c>
      <c r="L64" s="13">
        <v>0.0</v>
      </c>
      <c r="M64" s="13">
        <v>1.0</v>
      </c>
      <c r="N64" s="13" t="s">
        <v>806</v>
      </c>
      <c r="O64" s="13" t="s">
        <v>807</v>
      </c>
      <c r="P64" s="13" t="s">
        <v>808</v>
      </c>
      <c r="Q64" s="18" t="s">
        <v>809</v>
      </c>
      <c r="R64" s="19" t="str">
        <f>HYPERLINK("https://docs.google.com/open?id=0B5-iztf28QNJRlpxbndVUUtweTQ","Advanced Scenarios and Control (ASC) - Gerhardt - Tuning of the Automated Rampdown Software")</f>
        <v>Advanced Scenarios and Control (ASC) - Gerhardt - Tuning of the Automated Rampdown Software</v>
      </c>
      <c r="S64" s="20" t="s">
        <v>810</v>
      </c>
      <c r="T64" s="13" t="s">
        <v>811</v>
      </c>
      <c r="U64" s="18" t="s">
        <v>812</v>
      </c>
      <c r="V64" s="19" t="str">
        <f>HYPERLINK("https://docs.google.com/open?id=0B5-iztf28QNJYmotenhYSXhnbmM","Advanced Scenarios and Control (ASC) - Gerhardt - Tuning of the Automated Rampdown Software")</f>
        <v>Advanced Scenarios and Control (ASC) - Gerhardt - Tuning of the Automated Rampdown Software</v>
      </c>
      <c r="W64" s="20" t="s">
        <v>813</v>
      </c>
    </row>
    <row r="65">
      <c r="A65" s="17">
        <v>42052.3985258449</v>
      </c>
      <c r="B65" s="13" t="s">
        <v>814</v>
      </c>
      <c r="C65" s="13" t="s">
        <v>815</v>
      </c>
      <c r="D65" s="13" t="s">
        <v>816</v>
      </c>
      <c r="E65" s="13" t="s">
        <v>817</v>
      </c>
      <c r="F65" s="13" t="s">
        <v>818</v>
      </c>
      <c r="G65" s="13" t="s">
        <v>28</v>
      </c>
      <c r="H65" s="13" t="s">
        <v>29</v>
      </c>
      <c r="I65" s="13" t="s">
        <v>819</v>
      </c>
      <c r="J65" s="13" t="s">
        <v>47</v>
      </c>
      <c r="K65" s="13">
        <v>1.0</v>
      </c>
      <c r="L65" s="13">
        <v>0.0</v>
      </c>
      <c r="M65" s="13">
        <v>0.5</v>
      </c>
      <c r="N65" s="13" t="s">
        <v>820</v>
      </c>
      <c r="O65" s="13" t="s">
        <v>821</v>
      </c>
      <c r="P65" s="13" t="s">
        <v>822</v>
      </c>
      <c r="Q65" s="18" t="s">
        <v>823</v>
      </c>
      <c r="R65" s="19" t="str">
        <f>HYPERLINK("https://docs.google.com/open?id=0B5-iztf28QNJd3NicFJBNE5faDg","Wave Heating and Current Drive (RF) - Bertelli - HHFW effects on toroidal rotation ")</f>
        <v>Wave Heating and Current Drive (RF) - Bertelli - HHFW effects on toroidal rotation </v>
      </c>
      <c r="S65" s="20" t="s">
        <v>824</v>
      </c>
      <c r="T65" s="13" t="s">
        <v>825</v>
      </c>
      <c r="U65" s="18" t="s">
        <v>826</v>
      </c>
      <c r="V65" s="19" t="str">
        <f>HYPERLINK("https://docs.google.com/open?id=0B5-iztf28QNJbHAtRzZBbVU5X1E","Wave Heating and Current Drive (RF) - Bertelli - HHFW effects on toroidal rotation ")</f>
        <v>Wave Heating and Current Drive (RF) - Bertelli - HHFW effects on toroidal rotation </v>
      </c>
      <c r="W65" s="20" t="s">
        <v>827</v>
      </c>
    </row>
    <row r="66">
      <c r="A66" s="17">
        <v>42052.39759876157</v>
      </c>
      <c r="B66" s="13" t="s">
        <v>828</v>
      </c>
      <c r="C66" s="13" t="s">
        <v>815</v>
      </c>
      <c r="D66" s="13" t="s">
        <v>816</v>
      </c>
      <c r="E66" s="13" t="s">
        <v>817</v>
      </c>
      <c r="F66" s="13" t="s">
        <v>829</v>
      </c>
      <c r="G66" s="13" t="s">
        <v>28</v>
      </c>
      <c r="H66" s="13" t="s">
        <v>29</v>
      </c>
      <c r="I66" s="13" t="s">
        <v>819</v>
      </c>
      <c r="J66" s="13" t="s">
        <v>47</v>
      </c>
      <c r="K66" s="13">
        <v>1.0</v>
      </c>
      <c r="L66" s="13">
        <v>0.0</v>
      </c>
      <c r="M66" s="13">
        <v>0.5</v>
      </c>
      <c r="N66" s="13" t="s">
        <v>830</v>
      </c>
      <c r="O66" s="13" t="s">
        <v>831</v>
      </c>
      <c r="P66" s="13" t="s">
        <v>832</v>
      </c>
      <c r="Q66" s="18" t="s">
        <v>833</v>
      </c>
      <c r="R66" s="19" t="str">
        <f>HYPERLINK("https://docs.google.com/open?id=0B5-iztf28QNJYng0djl6V3JOeEU","Wave Heating and Current Drive (RF) - Bertelli - HHFW CD measurements by MSE diagnostic and RF code validation ")</f>
        <v>Wave Heating and Current Drive (RF) - Bertelli - HHFW CD measurements by MSE diagnostic and RF code validation </v>
      </c>
      <c r="S66" s="20" t="s">
        <v>834</v>
      </c>
      <c r="T66" s="13" t="s">
        <v>835</v>
      </c>
      <c r="U66" s="18" t="s">
        <v>836</v>
      </c>
      <c r="V66" s="19" t="str">
        <f>HYPERLINK("https://docs.google.com/open?id=0B5-iztf28QNJRzZRTTg2UnBZN2s","Wave Heating and Current Drive (RF) - Bertelli - HHFW CD measurements by MSE diagnostic and RF code validation ")</f>
        <v>Wave Heating and Current Drive (RF) - Bertelli - HHFW CD measurements by MSE diagnostic and RF code validation </v>
      </c>
      <c r="W66" s="20" t="s">
        <v>837</v>
      </c>
    </row>
    <row r="67">
      <c r="A67" s="17">
        <v>42052.39818403935</v>
      </c>
      <c r="B67" s="13" t="s">
        <v>838</v>
      </c>
      <c r="C67" s="13" t="s">
        <v>815</v>
      </c>
      <c r="D67" s="13" t="s">
        <v>816</v>
      </c>
      <c r="E67" s="13" t="s">
        <v>817</v>
      </c>
      <c r="F67" s="13" t="s">
        <v>839</v>
      </c>
      <c r="G67" s="13" t="s">
        <v>28</v>
      </c>
      <c r="H67" s="13" t="s">
        <v>29</v>
      </c>
      <c r="I67" s="13" t="s">
        <v>819</v>
      </c>
      <c r="J67" s="13" t="s">
        <v>840</v>
      </c>
      <c r="K67" s="13">
        <v>2.0</v>
      </c>
      <c r="L67" s="13">
        <v>0.0</v>
      </c>
      <c r="M67" s="13">
        <v>1.0</v>
      </c>
      <c r="N67" s="13" t="s">
        <v>841</v>
      </c>
      <c r="O67" s="13" t="s">
        <v>842</v>
      </c>
      <c r="P67" s="13" t="s">
        <v>843</v>
      </c>
      <c r="Q67" s="18" t="s">
        <v>844</v>
      </c>
      <c r="R67" s="19" t="str">
        <f>HYPERLINK("https://docs.google.com/open?id=0B5-iztf28QNJaWd1TUFyOThWNTA","Wave Heating and Current Drive (RF) - Bertelli - HHFW absorption in Neutral-Beam heated plasmas ")</f>
        <v>Wave Heating and Current Drive (RF) - Bertelli - HHFW absorption in Neutral-Beam heated plasmas </v>
      </c>
      <c r="S67" s="20" t="s">
        <v>845</v>
      </c>
      <c r="T67" s="13" t="s">
        <v>846</v>
      </c>
      <c r="U67" s="18" t="s">
        <v>847</v>
      </c>
      <c r="V67" s="19" t="str">
        <f>HYPERLINK("https://docs.google.com/open?id=0B5-iztf28QNJeHJlSUFpbU90RzA","Wave Heating and Current Drive (RF) - Bertelli - HHFW absorption in Neutral-Beam heated plasmas ")</f>
        <v>Wave Heating and Current Drive (RF) - Bertelli - HHFW absorption in Neutral-Beam heated plasmas </v>
      </c>
      <c r="W67" s="20" t="s">
        <v>848</v>
      </c>
    </row>
    <row r="68">
      <c r="A68" s="17">
        <v>42052.55556934028</v>
      </c>
      <c r="B68" s="13" t="s">
        <v>849</v>
      </c>
      <c r="C68" s="13" t="s">
        <v>850</v>
      </c>
      <c r="D68" s="13" t="s">
        <v>851</v>
      </c>
      <c r="E68" s="13" t="s">
        <v>852</v>
      </c>
      <c r="F68" s="13" t="s">
        <v>853</v>
      </c>
      <c r="G68" s="13" t="s">
        <v>28</v>
      </c>
      <c r="H68" s="13" t="s">
        <v>854</v>
      </c>
      <c r="I68" s="13" t="s">
        <v>663</v>
      </c>
      <c r="J68" s="13" t="s">
        <v>855</v>
      </c>
      <c r="K68" s="13">
        <v>0.5</v>
      </c>
      <c r="L68" s="13">
        <v>0.0</v>
      </c>
      <c r="M68" s="13">
        <v>0.25</v>
      </c>
      <c r="N68" s="13" t="s">
        <v>856</v>
      </c>
      <c r="O68" s="13" t="s">
        <v>857</v>
      </c>
      <c r="P68" s="13" t="s">
        <v>858</v>
      </c>
      <c r="Q68" s="18" t="s">
        <v>859</v>
      </c>
      <c r="R68" s="19" t="str">
        <f>HYPERLINK("https://docs.google.com/open?id=0B5-iztf28QNJb2RJYXROREdVdTg","Turbulence and Transport (TT) - Crocker - Investigation of core energy transport via HHFW heating")</f>
        <v>Turbulence and Transport (TT) - Crocker - Investigation of core energy transport via HHFW heating</v>
      </c>
      <c r="S68" s="20" t="s">
        <v>860</v>
      </c>
      <c r="T68" s="13" t="s">
        <v>861</v>
      </c>
      <c r="U68" s="18" t="s">
        <v>862</v>
      </c>
      <c r="V68" s="19" t="str">
        <f>HYPERLINK("https://docs.google.com/open?id=0B5-iztf28QNJWVZLb1NwNDlVWmc","Turbulence and Transport (TT) - Crocker - Investigation of core energy transport via HHFW heating")</f>
        <v>Turbulence and Transport (TT) - Crocker - Investigation of core energy transport via HHFW heating</v>
      </c>
      <c r="W68" s="20" t="s">
        <v>863</v>
      </c>
    </row>
    <row r="69">
      <c r="A69" s="17">
        <v>42052.45848159722</v>
      </c>
      <c r="B69" s="13" t="s">
        <v>864</v>
      </c>
      <c r="C69" s="13" t="s">
        <v>488</v>
      </c>
      <c r="D69" s="13" t="s">
        <v>489</v>
      </c>
      <c r="E69" s="13" t="s">
        <v>865</v>
      </c>
      <c r="F69" s="13" t="s">
        <v>866</v>
      </c>
      <c r="G69" s="13" t="s">
        <v>28</v>
      </c>
      <c r="H69" s="13" t="s">
        <v>29</v>
      </c>
      <c r="I69" s="13" t="s">
        <v>492</v>
      </c>
      <c r="J69" s="13" t="s">
        <v>47</v>
      </c>
      <c r="K69" s="13">
        <v>1.0</v>
      </c>
      <c r="L69" s="13">
        <v>0.0</v>
      </c>
      <c r="M69" s="13">
        <v>1.0</v>
      </c>
      <c r="N69" s="13" t="s">
        <v>867</v>
      </c>
      <c r="O69" s="13" t="s">
        <v>868</v>
      </c>
      <c r="P69" s="13" t="s">
        <v>869</v>
      </c>
      <c r="Q69" s="18" t="s">
        <v>870</v>
      </c>
      <c r="R69" s="19" t="str">
        <f>HYPERLINK("https://docs.google.com/open?id=0B5-iztf28QNJYnRRYUF4UnE5TUk","Energetic Particles (EP) - Fredrickson - TAE with high ß q2")</f>
        <v>Energetic Particles (EP) - Fredrickson - TAE with high ß q2</v>
      </c>
      <c r="S69" s="20" t="s">
        <v>871</v>
      </c>
      <c r="T69" s="13" t="s">
        <v>872</v>
      </c>
      <c r="U69" s="18" t="s">
        <v>873</v>
      </c>
      <c r="V69" s="19" t="str">
        <f>HYPERLINK("https://docs.google.com/open?id=0B5-iztf28QNJTDgtMDNHWUhhMEU","Energetic Particles (EP) - Fredrickson - TAE with high ß q2")</f>
        <v>Energetic Particles (EP) - Fredrickson - TAE with high ß q2</v>
      </c>
      <c r="W69" s="20" t="s">
        <v>874</v>
      </c>
    </row>
    <row r="70">
      <c r="A70" s="17">
        <v>42052.490990092585</v>
      </c>
      <c r="B70" s="13" t="s">
        <v>875</v>
      </c>
      <c r="C70" s="13" t="s">
        <v>850</v>
      </c>
      <c r="D70" s="13" t="s">
        <v>851</v>
      </c>
      <c r="E70" s="13" t="s">
        <v>852</v>
      </c>
      <c r="F70" s="13" t="s">
        <v>876</v>
      </c>
      <c r="G70" s="13" t="s">
        <v>28</v>
      </c>
      <c r="H70" s="13" t="s">
        <v>854</v>
      </c>
      <c r="I70" s="13" t="s">
        <v>492</v>
      </c>
      <c r="J70" s="13" t="s">
        <v>855</v>
      </c>
      <c r="K70" s="13">
        <v>0.5</v>
      </c>
      <c r="L70" s="13">
        <v>0.0</v>
      </c>
      <c r="M70" s="13">
        <v>0.25</v>
      </c>
      <c r="N70" s="13" t="s">
        <v>877</v>
      </c>
      <c r="O70" s="13" t="s">
        <v>878</v>
      </c>
      <c r="P70" s="13" t="s">
        <v>879</v>
      </c>
      <c r="Q70" s="18" t="s">
        <v>880</v>
      </c>
      <c r="R70" s="19" t="str">
        <f>HYPERLINK("https://docs.google.com/open?id=0B5-iztf28QNJRWR0bmR4WWR4Qmc","Energetic Particles (EP) - Crocker - Rotation effects on structure of CAEs and GAEs ")</f>
        <v>Energetic Particles (EP) - Crocker - Rotation effects on structure of CAEs and GAEs </v>
      </c>
      <c r="S70" s="20" t="s">
        <v>881</v>
      </c>
      <c r="T70" s="13" t="s">
        <v>882</v>
      </c>
      <c r="U70" s="18" t="s">
        <v>883</v>
      </c>
      <c r="V70" s="19" t="str">
        <f>HYPERLINK("https://docs.google.com/open?id=0B5-iztf28QNJS0tTTU1pU0puMm8","Energetic Particles (EP) - Crocker - Rotation effects on CAEs and GAEs ")</f>
        <v>Energetic Particles (EP) - Crocker - Rotation effects on CAEs and GAEs </v>
      </c>
      <c r="W70" s="20" t="s">
        <v>884</v>
      </c>
    </row>
    <row r="71">
      <c r="A71" s="17">
        <v>42052.71037974537</v>
      </c>
      <c r="B71" s="13" t="s">
        <v>885</v>
      </c>
      <c r="C71" s="13" t="s">
        <v>886</v>
      </c>
      <c r="D71" s="13" t="s">
        <v>887</v>
      </c>
      <c r="E71" s="13" t="s">
        <v>888</v>
      </c>
      <c r="F71" s="13" t="s">
        <v>889</v>
      </c>
      <c r="G71" s="13" t="s">
        <v>28</v>
      </c>
      <c r="H71" s="13" t="s">
        <v>168</v>
      </c>
      <c r="I71" s="13" t="s">
        <v>580</v>
      </c>
      <c r="J71" s="13" t="s">
        <v>47</v>
      </c>
      <c r="K71" s="13">
        <v>1.5</v>
      </c>
      <c r="L71" s="13">
        <v>0.0</v>
      </c>
      <c r="M71" s="13">
        <v>1.0</v>
      </c>
      <c r="N71" s="13" t="s">
        <v>890</v>
      </c>
      <c r="O71" s="13" t="s">
        <v>891</v>
      </c>
      <c r="P71" s="13" t="s">
        <v>892</v>
      </c>
      <c r="Q71" s="18" t="s">
        <v>893</v>
      </c>
      <c r="R71" s="19" t="str">
        <f>HYPERLINK("https://docs.google.com/open?id=0B5-iztf28QNJNGlqUU5WNjRuaHM","Divertor and Scrape-off-layer (DS) - Canal - Assessment of 3D field effects on the properties of the snowflake divertor")</f>
        <v>Divertor and Scrape-off-layer (DS) - Canal - Assessment of 3D field effects on the properties of the snowflake divertor</v>
      </c>
      <c r="S71" s="20" t="s">
        <v>894</v>
      </c>
      <c r="T71" s="13" t="s">
        <v>895</v>
      </c>
      <c r="U71" s="18" t="s">
        <v>896</v>
      </c>
      <c r="V71" s="19" t="str">
        <f>HYPERLINK("https://docs.google.com/open?id=0B5-iztf28QNJX1hSUnBTRVRmM0E","Divertor and Scrape-off-layer (DS) - Canal - Assessment of 3D field effects on the properties of the snowflake divertor")</f>
        <v>Divertor and Scrape-off-layer (DS) - Canal - Assessment of 3D field effects on the properties of the snowflake divertor</v>
      </c>
      <c r="W71" s="20" t="s">
        <v>897</v>
      </c>
    </row>
    <row r="72">
      <c r="A72" s="17">
        <v>42052.745121099535</v>
      </c>
      <c r="B72" s="13" t="s">
        <v>898</v>
      </c>
      <c r="C72" s="13" t="s">
        <v>117</v>
      </c>
      <c r="D72" s="13" t="s">
        <v>118</v>
      </c>
      <c r="E72" s="13" t="s">
        <v>119</v>
      </c>
      <c r="F72" s="13" t="s">
        <v>899</v>
      </c>
      <c r="G72" s="13" t="s">
        <v>28</v>
      </c>
      <c r="H72" s="13" t="s">
        <v>121</v>
      </c>
      <c r="I72" s="13" t="s">
        <v>169</v>
      </c>
      <c r="J72" s="13" t="s">
        <v>900</v>
      </c>
      <c r="K72" s="13">
        <v>3.0</v>
      </c>
      <c r="L72" s="13">
        <v>0.0</v>
      </c>
      <c r="M72" s="13">
        <v>2.0</v>
      </c>
      <c r="N72" s="13" t="s">
        <v>901</v>
      </c>
      <c r="O72" s="13" t="s">
        <v>902</v>
      </c>
      <c r="P72" s="13" t="s">
        <v>903</v>
      </c>
      <c r="Q72" s="18" t="s">
        <v>904</v>
      </c>
      <c r="R72" s="19" t="str">
        <f>HYPERLINK("https://docs.google.com/open?id=0B5-iztf28QNJdG4yVEtnVFR5SU0","Macroscopic Stability (MS) - Raman - Massive Gas Injection Studies on NSTX-U")</f>
        <v>Macroscopic Stability (MS) - Raman - Massive Gas Injection Studies on NSTX-U</v>
      </c>
      <c r="S72" s="20" t="s">
        <v>905</v>
      </c>
      <c r="T72" s="13" t="s">
        <v>906</v>
      </c>
      <c r="U72" s="18" t="s">
        <v>907</v>
      </c>
      <c r="V72" s="19" t="str">
        <f>HYPERLINK("https://docs.google.com/open?id=0B5-iztf28QNJUHpfRFVNNlBLY00","Macroscopic Stability (MS) - Raman - Massive Gas Injection Studies on NSTX-U")</f>
        <v>Macroscopic Stability (MS) - Raman - Massive Gas Injection Studies on NSTX-U</v>
      </c>
      <c r="W72" s="20" t="s">
        <v>908</v>
      </c>
    </row>
    <row r="73">
      <c r="A73" s="17">
        <v>42052.76270251157</v>
      </c>
      <c r="B73" s="13" t="s">
        <v>909</v>
      </c>
      <c r="C73" s="13" t="s">
        <v>117</v>
      </c>
      <c r="D73" s="13" t="s">
        <v>118</v>
      </c>
      <c r="E73" s="13" t="s">
        <v>119</v>
      </c>
      <c r="F73" s="13" t="s">
        <v>143</v>
      </c>
      <c r="G73" s="13" t="s">
        <v>28</v>
      </c>
      <c r="H73" s="13" t="s">
        <v>121</v>
      </c>
      <c r="I73" s="13" t="s">
        <v>545</v>
      </c>
      <c r="J73" s="13" t="s">
        <v>910</v>
      </c>
      <c r="K73" s="13">
        <v>4.0</v>
      </c>
      <c r="L73" s="13">
        <v>0.0</v>
      </c>
      <c r="M73" s="13">
        <v>3.0</v>
      </c>
      <c r="N73" s="13" t="s">
        <v>911</v>
      </c>
      <c r="O73" s="13" t="s">
        <v>912</v>
      </c>
      <c r="P73" s="13" t="s">
        <v>913</v>
      </c>
      <c r="Q73" s="18" t="s">
        <v>914</v>
      </c>
      <c r="R73" s="19" t="str">
        <f>HYPERLINK("https://docs.google.com/open?id=0B5-iztf28QNJaE12U3VEVDljRjQ","Solenoid-free Start-up and Ramp-up (SR) - Raman - Transient CHI Plasma Start-up in NSTX-U")</f>
        <v>Solenoid-free Start-up and Ramp-up (SR) - Raman - Transient CHI Plasma Start-up in NSTX-U</v>
      </c>
      <c r="S73" s="20" t="s">
        <v>915</v>
      </c>
      <c r="T73" s="13" t="s">
        <v>916</v>
      </c>
      <c r="U73" s="18" t="s">
        <v>917</v>
      </c>
      <c r="V73" s="19" t="str">
        <f>HYPERLINK("https://docs.google.com/open?id=0B5-iztf28QNJeEtJbUFDckF6eE0","Solenoid-free Start-up and Ramp-up (SR) - Raman - Transient CHI Plasma Start-up in NSTX-U")</f>
        <v>Solenoid-free Start-up and Ramp-up (SR) - Raman - Transient CHI Plasma Start-up in NSTX-U</v>
      </c>
      <c r="W73" s="20" t="s">
        <v>918</v>
      </c>
    </row>
    <row r="74">
      <c r="A74" s="17">
        <v>42052.87537488426</v>
      </c>
      <c r="B74" s="13" t="s">
        <v>919</v>
      </c>
      <c r="C74" s="13" t="s">
        <v>920</v>
      </c>
      <c r="D74" s="13" t="s">
        <v>921</v>
      </c>
      <c r="E74" s="13" t="s">
        <v>922</v>
      </c>
      <c r="F74" s="13" t="s">
        <v>923</v>
      </c>
      <c r="G74" s="13" t="s">
        <v>28</v>
      </c>
      <c r="H74" s="13" t="s">
        <v>271</v>
      </c>
      <c r="I74" s="13" t="s">
        <v>492</v>
      </c>
      <c r="J74" s="13" t="s">
        <v>924</v>
      </c>
      <c r="K74" s="13">
        <v>1.0</v>
      </c>
      <c r="L74" s="13">
        <v>0.0</v>
      </c>
      <c r="M74" s="13">
        <v>1.0</v>
      </c>
      <c r="N74" s="13" t="s">
        <v>925</v>
      </c>
      <c r="O74" s="13" t="s">
        <v>31</v>
      </c>
      <c r="P74" s="13" t="s">
        <v>926</v>
      </c>
      <c r="Q74" s="18" t="s">
        <v>927</v>
      </c>
      <c r="R74" s="19" t="str">
        <f>HYPERLINK("https://docs.google.com/open?id=0B5-iztf28QNJMEdLaTVfSUluMkE","Energetic Particles (EP) - Heidbrink - Why do some fast-ion driven modes chirp?")</f>
        <v>Energetic Particles (EP) - Heidbrink - Why do some fast-ion driven modes chirp?</v>
      </c>
      <c r="S74" s="20" t="s">
        <v>928</v>
      </c>
      <c r="T74" s="13" t="s">
        <v>929</v>
      </c>
      <c r="U74" s="18" t="s">
        <v>930</v>
      </c>
      <c r="V74" s="19" t="str">
        <f>HYPERLINK("https://docs.google.com/open?id=0B5-iztf28QNJVFA2WTVIWm9mcVU","Energetic Particles (EP) - Heidbrink - Why do some fast-ion driven modes chirp?")</f>
        <v>Energetic Particles (EP) - Heidbrink - Why do some fast-ion driven modes chirp?</v>
      </c>
      <c r="W74" s="20" t="s">
        <v>931</v>
      </c>
    </row>
    <row r="75">
      <c r="A75" s="17">
        <v>42052.879354571756</v>
      </c>
      <c r="B75" s="13" t="s">
        <v>932</v>
      </c>
      <c r="C75" s="13" t="s">
        <v>920</v>
      </c>
      <c r="D75" s="13" t="s">
        <v>921</v>
      </c>
      <c r="E75" s="13" t="s">
        <v>922</v>
      </c>
      <c r="F75" s="13" t="s">
        <v>923</v>
      </c>
      <c r="G75" s="13" t="s">
        <v>28</v>
      </c>
      <c r="H75" s="13" t="s">
        <v>271</v>
      </c>
      <c r="I75" s="13" t="s">
        <v>492</v>
      </c>
      <c r="J75" s="13" t="s">
        <v>924</v>
      </c>
      <c r="K75" s="13">
        <v>1.0</v>
      </c>
      <c r="L75" s="13">
        <v>0.0</v>
      </c>
      <c r="M75" s="13">
        <v>1.0</v>
      </c>
      <c r="N75" s="13" t="s">
        <v>933</v>
      </c>
      <c r="O75" s="13" t="s">
        <v>31</v>
      </c>
      <c r="P75" s="13" t="s">
        <v>934</v>
      </c>
      <c r="Q75" s="18" t="s">
        <v>935</v>
      </c>
      <c r="R75" s="19" t="str">
        <f>HYPERLINK("https://docs.google.com/open?id=0B5-iztf28QNJZGQ2NXdWTVlpRE0","Energetic Particles (EP) - Heidbrink - AE Critical Gradient")</f>
        <v>Energetic Particles (EP) - Heidbrink - AE Critical Gradient</v>
      </c>
      <c r="S75" s="20" t="s">
        <v>936</v>
      </c>
      <c r="T75" s="13" t="s">
        <v>937</v>
      </c>
      <c r="U75" s="18" t="s">
        <v>938</v>
      </c>
      <c r="V75" s="19" t="str">
        <f>HYPERLINK("https://docs.google.com/open?id=0B5-iztf28QNJVTk0bHlCSUd4WHc","Energetic Particles (EP) - Heidbrink - AE Critical Gradient")</f>
        <v>Energetic Particles (EP) - Heidbrink - AE Critical Gradient</v>
      </c>
      <c r="W75" s="20" t="s">
        <v>939</v>
      </c>
    </row>
    <row r="76">
      <c r="A76" s="17">
        <v>42052.88253795139</v>
      </c>
      <c r="B76" s="13" t="s">
        <v>940</v>
      </c>
      <c r="C76" s="13" t="s">
        <v>920</v>
      </c>
      <c r="D76" s="13" t="s">
        <v>921</v>
      </c>
      <c r="E76" s="13" t="s">
        <v>922</v>
      </c>
      <c r="F76" s="13" t="s">
        <v>220</v>
      </c>
      <c r="G76" s="13" t="s">
        <v>28</v>
      </c>
      <c r="H76" s="13" t="s">
        <v>271</v>
      </c>
      <c r="I76" s="13" t="s">
        <v>492</v>
      </c>
      <c r="J76" s="13" t="s">
        <v>47</v>
      </c>
      <c r="K76" s="13">
        <v>1.0</v>
      </c>
      <c r="L76" s="13">
        <v>0.0</v>
      </c>
      <c r="M76" s="13">
        <v>1.0</v>
      </c>
      <c r="N76" s="13" t="s">
        <v>941</v>
      </c>
      <c r="O76" s="13" t="s">
        <v>942</v>
      </c>
      <c r="P76" s="13" t="s">
        <v>943</v>
      </c>
      <c r="Q76" s="18" t="s">
        <v>944</v>
      </c>
      <c r="R76" s="19" t="str">
        <f>HYPERLINK("https://docs.google.com/open?id=0B5-iztf28QNJY3dlRjhwcmNYVEU","Energetic Particles (EP) - Heidbrink - Light ion beam probe of Alfven eigenmode transport")</f>
        <v>Energetic Particles (EP) - Heidbrink - Light ion beam probe of Alfven eigenmode transport</v>
      </c>
      <c r="S76" s="20" t="s">
        <v>945</v>
      </c>
      <c r="T76" s="13" t="s">
        <v>946</v>
      </c>
      <c r="U76" s="18" t="s">
        <v>947</v>
      </c>
      <c r="V76" s="19" t="str">
        <f>HYPERLINK("https://docs.google.com/open?id=0B5-iztf28QNJbHlLN3VzSEFaajg","Energetic Particles (EP) - Heidbrink - Light ion beam probe of Alfven eigenmode transport")</f>
        <v>Energetic Particles (EP) - Heidbrink - Light ion beam probe of Alfven eigenmode transport</v>
      </c>
      <c r="W76" s="20" t="s">
        <v>948</v>
      </c>
    </row>
    <row r="77">
      <c r="A77" s="17">
        <v>42053.39632482639</v>
      </c>
      <c r="B77" s="13" t="s">
        <v>949</v>
      </c>
      <c r="C77" s="13" t="s">
        <v>950</v>
      </c>
      <c r="D77" s="13" t="s">
        <v>951</v>
      </c>
      <c r="E77" s="13" t="s">
        <v>952</v>
      </c>
      <c r="F77" s="13" t="s">
        <v>953</v>
      </c>
      <c r="G77" s="13" t="s">
        <v>28</v>
      </c>
      <c r="H77" s="13" t="s">
        <v>954</v>
      </c>
      <c r="I77" s="13" t="s">
        <v>955</v>
      </c>
      <c r="J77" s="13" t="s">
        <v>956</v>
      </c>
      <c r="K77" s="13">
        <v>1.0</v>
      </c>
      <c r="L77" s="13">
        <v>0.0</v>
      </c>
      <c r="M77" s="13">
        <v>0.0</v>
      </c>
      <c r="N77" s="13" t="s">
        <v>957</v>
      </c>
      <c r="O77" s="13" t="s">
        <v>958</v>
      </c>
      <c r="P77" s="13" t="s">
        <v>959</v>
      </c>
      <c r="Q77" s="18" t="s">
        <v>960</v>
      </c>
      <c r="R77" s="19" t="str">
        <f>HYPERLINK("https://docs.google.com/open?id=0B5-iztf28QNJR3ZvVUlGNUpTN2M","Materials and PFCs (MP) - Wright - Ex-situ IBA of targets with implanted depth markers")</f>
        <v>Materials and PFCs (MP) - Wright - Ex-situ IBA of targets with implanted depth markers</v>
      </c>
      <c r="S77" s="20" t="s">
        <v>961</v>
      </c>
      <c r="T77" s="13" t="s">
        <v>962</v>
      </c>
      <c r="U77" s="18" t="s">
        <v>963</v>
      </c>
      <c r="V77" s="19" t="str">
        <f>HYPERLINK("https://docs.google.com/open?id=0B5-iztf28QNJVUhpZVRzdUFsdEU","Materials and PFCs (MP) - Wright - Ex-situ IBA of targets with implanted depth markers")</f>
        <v>Materials and PFCs (MP) - Wright - Ex-situ IBA of targets with implanted depth markers</v>
      </c>
      <c r="W77" s="20" t="s">
        <v>964</v>
      </c>
    </row>
    <row r="78">
      <c r="A78" s="17">
        <v>42053.45607748842</v>
      </c>
      <c r="B78" s="13" t="s">
        <v>965</v>
      </c>
      <c r="C78" s="13" t="s">
        <v>966</v>
      </c>
      <c r="D78" s="13" t="s">
        <v>967</v>
      </c>
      <c r="E78" s="13" t="s">
        <v>968</v>
      </c>
      <c r="F78" s="13" t="s">
        <v>969</v>
      </c>
      <c r="G78" s="13" t="s">
        <v>28</v>
      </c>
      <c r="H78" s="13" t="s">
        <v>168</v>
      </c>
      <c r="I78" s="13" t="s">
        <v>169</v>
      </c>
      <c r="J78" s="13" t="s">
        <v>970</v>
      </c>
      <c r="K78" s="13">
        <v>1.0</v>
      </c>
      <c r="L78" s="13">
        <v>0.0</v>
      </c>
      <c r="M78" s="13">
        <v>0.25</v>
      </c>
      <c r="N78" s="13" t="s">
        <v>971</v>
      </c>
      <c r="O78" s="13" t="s">
        <v>972</v>
      </c>
      <c r="P78" s="13" t="s">
        <v>973</v>
      </c>
      <c r="Q78" s="18" t="s">
        <v>974</v>
      </c>
      <c r="R78" s="19" t="str">
        <f>HYPERLINK("https://docs.google.com/open?id=0B5-iztf28QNJbTdyeWc3b2ZYNjA","Macroscopic Stability (MS) - Lanctot - Real-time error field control using extremum seeking in NSTX-U")</f>
        <v>Macroscopic Stability (MS) - Lanctot - Real-time error field control using extremum seeking in NSTX-U</v>
      </c>
      <c r="S78" s="20" t="s">
        <v>975</v>
      </c>
      <c r="T78" s="13" t="s">
        <v>976</v>
      </c>
      <c r="U78" s="18" t="s">
        <v>977</v>
      </c>
      <c r="V78" s="19" t="str">
        <f>HYPERLINK("https://docs.google.com/open?id=0B5-iztf28QNJOHJ0QmwyYjVzaG8","Macroscopic Stability (MS) - Lanctot - Real-time error field control using extremum seeking in NSTX-U")</f>
        <v>Macroscopic Stability (MS) - Lanctot - Real-time error field control using extremum seeking in NSTX-U</v>
      </c>
      <c r="W78" s="20" t="s">
        <v>978</v>
      </c>
    </row>
    <row r="79">
      <c r="A79" s="17">
        <v>42053.52080815972</v>
      </c>
      <c r="B79" s="13" t="s">
        <v>979</v>
      </c>
      <c r="C79" s="13" t="s">
        <v>980</v>
      </c>
      <c r="D79" s="13" t="s">
        <v>981</v>
      </c>
      <c r="E79" s="13" t="s">
        <v>982</v>
      </c>
      <c r="F79" s="13" t="s">
        <v>983</v>
      </c>
      <c r="G79" s="13" t="s">
        <v>28</v>
      </c>
      <c r="H79" s="13" t="s">
        <v>29</v>
      </c>
      <c r="I79" s="13" t="s">
        <v>580</v>
      </c>
      <c r="J79" s="13" t="s">
        <v>47</v>
      </c>
      <c r="K79" s="13">
        <v>1.0</v>
      </c>
      <c r="L79" s="13">
        <v>0.5</v>
      </c>
      <c r="M79" s="13">
        <v>0.5</v>
      </c>
      <c r="N79" s="13" t="s">
        <v>984</v>
      </c>
      <c r="O79" s="13" t="s">
        <v>985</v>
      </c>
      <c r="P79" s="13" t="s">
        <v>986</v>
      </c>
      <c r="Q79" s="18" t="s">
        <v>987</v>
      </c>
      <c r="R79" s="19" t="str">
        <f>HYPERLINK("https://docs.google.com/open?id=0B5-iztf28QNJbkRHanl2UW1XMjA","Divertor and Scrape-off-layer (DS) - Zweben - Parallel Correlation of SOL Turbulence")</f>
        <v>Divertor and Scrape-off-layer (DS) - Zweben - Parallel Correlation of SOL Turbulence</v>
      </c>
      <c r="S79" s="20" t="s">
        <v>988</v>
      </c>
      <c r="T79" s="13" t="s">
        <v>989</v>
      </c>
      <c r="U79" s="18" t="s">
        <v>990</v>
      </c>
      <c r="V79" s="19" t="str">
        <f>HYPERLINK("https://docs.google.com/open?id=0B5-iztf28QNJSnBVN1lZUWhVcTg","Divertor and Scrape-off-layer (DS) - Zweben - Parallel Correlation of SOL Turbulence")</f>
        <v>Divertor and Scrape-off-layer (DS) - Zweben - Parallel Correlation of SOL Turbulence</v>
      </c>
      <c r="W79" s="20" t="s">
        <v>991</v>
      </c>
    </row>
    <row r="80">
      <c r="A80" s="17">
        <v>42053.525404594904</v>
      </c>
      <c r="B80" s="13" t="s">
        <v>992</v>
      </c>
      <c r="C80" s="13" t="s">
        <v>362</v>
      </c>
      <c r="D80" s="13" t="s">
        <v>363</v>
      </c>
      <c r="E80" s="13" t="s">
        <v>364</v>
      </c>
      <c r="F80" s="13" t="s">
        <v>993</v>
      </c>
      <c r="G80" s="13" t="s">
        <v>28</v>
      </c>
      <c r="H80" s="13" t="s">
        <v>29</v>
      </c>
      <c r="I80" s="13" t="s">
        <v>60</v>
      </c>
      <c r="J80" s="13" t="s">
        <v>366</v>
      </c>
      <c r="K80" s="13">
        <v>1.5</v>
      </c>
      <c r="L80" s="13">
        <v>0.0</v>
      </c>
      <c r="M80" s="13">
        <v>0.5</v>
      </c>
      <c r="N80" s="13" t="s">
        <v>994</v>
      </c>
      <c r="O80" s="13" t="s">
        <v>995</v>
      </c>
      <c r="P80" s="13" t="s">
        <v>996</v>
      </c>
      <c r="Q80" s="18" t="s">
        <v>997</v>
      </c>
      <c r="R80" s="19" t="str">
        <f>HYPERLINK("https://docs.google.com/open?id=0B5-iztf28QNJQmRjLTZNZ01Kbkk","Advanced Scenarios and Control (ASC) - Boyer - Optimization of vertical control algorithm")</f>
        <v>Advanced Scenarios and Control (ASC) - Boyer - Optimization of vertical control algorithm</v>
      </c>
      <c r="S80" s="20" t="s">
        <v>998</v>
      </c>
      <c r="T80" s="13" t="s">
        <v>999</v>
      </c>
      <c r="U80" s="18" t="s">
        <v>1000</v>
      </c>
      <c r="V80" s="19" t="str">
        <f>HYPERLINK("https://docs.google.com/open?id=0B5-iztf28QNJZENDMUhEdU96U3M","Advanced Scenarios and Control (ASC) - Boyer - Optimization of vertical control algorithm")</f>
        <v>Advanced Scenarios and Control (ASC) - Boyer - Optimization of vertical control algorithm</v>
      </c>
      <c r="W80" s="20" t="s">
        <v>1001</v>
      </c>
    </row>
    <row r="81">
      <c r="A81" s="17">
        <v>42053.529571203704</v>
      </c>
      <c r="B81" s="13" t="s">
        <v>1002</v>
      </c>
      <c r="C81" s="13" t="s">
        <v>362</v>
      </c>
      <c r="D81" s="13" t="s">
        <v>363</v>
      </c>
      <c r="E81" s="13" t="s">
        <v>364</v>
      </c>
      <c r="F81" s="13" t="s">
        <v>1003</v>
      </c>
      <c r="G81" s="13" t="s">
        <v>28</v>
      </c>
      <c r="H81" s="13" t="s">
        <v>29</v>
      </c>
      <c r="I81" s="13" t="s">
        <v>60</v>
      </c>
      <c r="J81" s="13" t="s">
        <v>1004</v>
      </c>
      <c r="K81" s="13">
        <v>1.0</v>
      </c>
      <c r="L81" s="13">
        <v>0.0</v>
      </c>
      <c r="M81" s="13">
        <v>0.5</v>
      </c>
      <c r="N81" s="13" t="s">
        <v>1005</v>
      </c>
      <c r="O81" s="13" t="s">
        <v>1006</v>
      </c>
      <c r="P81" s="13" t="s">
        <v>1007</v>
      </c>
      <c r="Q81" s="18" t="s">
        <v>1008</v>
      </c>
      <c r="R81" s="19" t="str">
        <f>HYPERLINK("https://docs.google.com/open?id=0B5-iztf28QNJbHdvUHdWNXVlblE","Advanced Scenarios and Control (ASC) - Boyer - Combined betaN and li feedback control")</f>
        <v>Advanced Scenarios and Control (ASC) - Boyer - Combined betaN and li feedback control</v>
      </c>
      <c r="S81" s="20" t="s">
        <v>1009</v>
      </c>
      <c r="T81" s="13" t="s">
        <v>1010</v>
      </c>
      <c r="U81" s="18" t="s">
        <v>1011</v>
      </c>
      <c r="V81" s="19" t="str">
        <f>HYPERLINK("https://docs.google.com/open?id=0B5-iztf28QNJUTZQWWZJUjZtTHc","Advanced Scenarios and Control (ASC) - Boyer - Combined betaN and li feedback control")</f>
        <v>Advanced Scenarios and Control (ASC) - Boyer - Combined betaN and li feedback control</v>
      </c>
      <c r="W81" s="20" t="s">
        <v>1012</v>
      </c>
    </row>
    <row r="82">
      <c r="A82" s="17">
        <v>42053.56217412037</v>
      </c>
      <c r="B82" s="13" t="s">
        <v>1013</v>
      </c>
      <c r="C82" s="13" t="s">
        <v>1014</v>
      </c>
      <c r="D82" s="13" t="s">
        <v>626</v>
      </c>
      <c r="E82" s="13" t="s">
        <v>627</v>
      </c>
      <c r="F82" s="13" t="s">
        <v>47</v>
      </c>
      <c r="G82" s="13" t="s">
        <v>28</v>
      </c>
      <c r="H82" s="13" t="s">
        <v>29</v>
      </c>
      <c r="I82" s="13" t="s">
        <v>60</v>
      </c>
      <c r="J82" s="13" t="s">
        <v>1015</v>
      </c>
      <c r="K82" s="13">
        <v>1.0</v>
      </c>
      <c r="L82" s="13">
        <v>0.0</v>
      </c>
      <c r="M82" s="13">
        <v>1.0</v>
      </c>
      <c r="N82" s="13" t="s">
        <v>1016</v>
      </c>
      <c r="O82" s="13" t="s">
        <v>1017</v>
      </c>
      <c r="P82" s="13" t="s">
        <v>1018</v>
      </c>
      <c r="Q82" s="18" t="s">
        <v>1019</v>
      </c>
      <c r="R82" s="19" t="str">
        <f>HYPERLINK("https://docs.google.com/open?id=0B5-iztf28QNJTUV1dHRIeVIwazg","Advanced Scenarios and Control (ASC) - Poli - rampdown studies")</f>
        <v>Advanced Scenarios and Control (ASC) - Poli - rampdown studies</v>
      </c>
      <c r="S82" s="20" t="s">
        <v>1020</v>
      </c>
      <c r="T82" s="13" t="s">
        <v>1021</v>
      </c>
      <c r="U82" s="18" t="s">
        <v>1022</v>
      </c>
      <c r="V82" s="19" t="str">
        <f>HYPERLINK("https://docs.google.com/open?id=0B5-iztf28QNJUU42czNjR3RHcnc","Advanced Scenarios and Control (ASC) - Poli - rampdown studies")</f>
        <v>Advanced Scenarios and Control (ASC) - Poli - rampdown studies</v>
      </c>
      <c r="W82" s="20" t="s">
        <v>1023</v>
      </c>
    </row>
    <row r="83">
      <c r="A83" s="17">
        <v>42053.565425243054</v>
      </c>
      <c r="B83" s="13" t="s">
        <v>1024</v>
      </c>
      <c r="C83" s="13" t="s">
        <v>1025</v>
      </c>
      <c r="D83" s="13" t="s">
        <v>1026</v>
      </c>
      <c r="E83" s="13" t="s">
        <v>627</v>
      </c>
      <c r="F83" s="13" t="s">
        <v>47</v>
      </c>
      <c r="G83" s="13" t="s">
        <v>28</v>
      </c>
      <c r="H83" s="13" t="s">
        <v>29</v>
      </c>
      <c r="I83" s="13" t="s">
        <v>492</v>
      </c>
      <c r="J83" s="13" t="s">
        <v>1027</v>
      </c>
      <c r="K83" s="13">
        <v>1.0</v>
      </c>
      <c r="L83" s="13">
        <v>0.0</v>
      </c>
      <c r="M83" s="13">
        <v>0.5</v>
      </c>
      <c r="N83" s="13" t="s">
        <v>1028</v>
      </c>
      <c r="O83" s="13" t="s">
        <v>1029</v>
      </c>
      <c r="P83" s="13" t="s">
        <v>1030</v>
      </c>
      <c r="Q83" s="18" t="s">
        <v>1031</v>
      </c>
      <c r="R83" s="19" t="str">
        <f>HYPERLINK("https://docs.google.com/open?id=0B5-iztf28QNJTHR6SGZrblJYTE0","Energetic Particles (EP) - poli - RF-NB interaction at low current")</f>
        <v>Energetic Particles (EP) - poli - RF-NB interaction at low current</v>
      </c>
      <c r="S83" s="20" t="s">
        <v>1032</v>
      </c>
      <c r="T83" s="13" t="s">
        <v>1033</v>
      </c>
      <c r="U83" s="18" t="s">
        <v>1034</v>
      </c>
      <c r="V83" s="19" t="str">
        <f>HYPERLINK("https://docs.google.com/open?id=0B5-iztf28QNJX0dLb1dUWW82NGM","Energetic Particles (EP) - poli - RF-NB interaction at low current")</f>
        <v>Energetic Particles (EP) - poli - RF-NB interaction at low current</v>
      </c>
      <c r="W83" s="20" t="s">
        <v>1035</v>
      </c>
    </row>
    <row r="84">
      <c r="A84" s="17">
        <v>42053.578550300925</v>
      </c>
      <c r="B84" s="13" t="s">
        <v>1036</v>
      </c>
      <c r="C84" s="13" t="s">
        <v>1037</v>
      </c>
      <c r="D84" s="13" t="s">
        <v>1038</v>
      </c>
      <c r="E84" s="13" t="s">
        <v>1039</v>
      </c>
      <c r="F84" s="13" t="s">
        <v>1040</v>
      </c>
      <c r="G84" s="13" t="s">
        <v>28</v>
      </c>
      <c r="H84" s="13" t="s">
        <v>121</v>
      </c>
      <c r="I84" s="13" t="s">
        <v>545</v>
      </c>
      <c r="J84" s="13" t="s">
        <v>1041</v>
      </c>
      <c r="K84" s="13">
        <v>2.0</v>
      </c>
      <c r="L84" s="13">
        <v>0.0</v>
      </c>
      <c r="M84" s="13">
        <v>1.0</v>
      </c>
      <c r="N84" s="13" t="s">
        <v>1042</v>
      </c>
      <c r="O84" s="13" t="s">
        <v>1043</v>
      </c>
      <c r="P84" s="13" t="s">
        <v>1044</v>
      </c>
      <c r="Q84" s="18" t="s">
        <v>1045</v>
      </c>
      <c r="R84" s="19" t="str">
        <f>HYPERLINK("https://docs.google.com/open?id=0B5-iztf28QNJT2dRRkw4akpRZ2M","Solenoid-free Start-up and Ramp-up (SR) - Nelson - Inductive Flux Savings of Inductively-driven Transient CHI Plasmas")</f>
        <v>Solenoid-free Start-up and Ramp-up (SR) - Nelson - Inductive Flux Savings of Inductively-driven Transient CHI Plasmas</v>
      </c>
      <c r="S84" s="20" t="s">
        <v>1046</v>
      </c>
      <c r="T84" s="13" t="s">
        <v>1047</v>
      </c>
      <c r="U84" s="18" t="s">
        <v>1048</v>
      </c>
      <c r="V84" s="19" t="str">
        <f>HYPERLINK("https://docs.google.com/open?id=0B5-iztf28QNJZWlQYkk5WDlUcE0","Solenoid-free Start-up and Ramp-up (SR) - Nelson - Inductive Flux Savings of Inductively-driven Transient CHI Plasmas")</f>
        <v>Solenoid-free Start-up and Ramp-up (SR) - Nelson - Inductive Flux Savings of Inductively-driven Transient CHI Plasmas</v>
      </c>
      <c r="W84" s="20" t="s">
        <v>1049</v>
      </c>
    </row>
    <row r="85">
      <c r="A85" s="17">
        <v>42053.882375381945</v>
      </c>
      <c r="B85" s="13" t="s">
        <v>1050</v>
      </c>
      <c r="C85" s="13" t="s">
        <v>1051</v>
      </c>
      <c r="D85" s="13" t="s">
        <v>1052</v>
      </c>
      <c r="E85" s="13" t="s">
        <v>1053</v>
      </c>
      <c r="F85" s="13" t="s">
        <v>1054</v>
      </c>
      <c r="G85" s="13" t="s">
        <v>28</v>
      </c>
      <c r="H85" s="13" t="s">
        <v>29</v>
      </c>
      <c r="I85" s="13" t="s">
        <v>663</v>
      </c>
      <c r="J85" s="13" t="s">
        <v>47</v>
      </c>
      <c r="K85" s="13">
        <v>1.0</v>
      </c>
      <c r="L85" s="13">
        <v>0.0</v>
      </c>
      <c r="M85" s="13">
        <v>0.5</v>
      </c>
      <c r="N85" s="13" t="s">
        <v>1055</v>
      </c>
      <c r="O85" s="13" t="s">
        <v>1056</v>
      </c>
      <c r="P85" s="13" t="s">
        <v>1057</v>
      </c>
      <c r="Q85" s="18" t="s">
        <v>1058</v>
      </c>
      <c r="R85" s="19" t="str">
        <f>HYPERLINK("https://docs.google.com/open?id=0B5-iztf28QNJNXJXQUxoN2wyZU0","Turbulence and Transport (TT) - Ren -  Perturbative particle transport experiment with SGI in NSTX-U L and H-mode plasmas")</f>
        <v>Turbulence and Transport (TT) - Ren -  Perturbative particle transport experiment with SGI in NSTX-U L and H-mode plasmas</v>
      </c>
      <c r="S85" s="20" t="s">
        <v>1059</v>
      </c>
      <c r="T85" s="13" t="s">
        <v>1060</v>
      </c>
      <c r="U85" s="18" t="s">
        <v>1061</v>
      </c>
      <c r="V85" s="19" t="str">
        <f>HYPERLINK("https://docs.google.com/open?id=0B5-iztf28QNJRWhweWhOWmFUMzA","Turbulence and Transport (TT) - Ren -  Perturbative particle transport experiment with SGI in NSTX-U L and H-mode plasmas")</f>
        <v>Turbulence and Transport (TT) - Ren -  Perturbative particle transport experiment with SGI in NSTX-U L and H-mode plasmas</v>
      </c>
      <c r="W85" s="20" t="s">
        <v>1062</v>
      </c>
    </row>
    <row r="86">
      <c r="A86" s="17">
        <v>42053.942794560186</v>
      </c>
      <c r="B86" s="13" t="s">
        <v>1063</v>
      </c>
      <c r="C86" s="13" t="s">
        <v>1051</v>
      </c>
      <c r="D86" s="13" t="s">
        <v>1052</v>
      </c>
      <c r="E86" s="13" t="s">
        <v>1053</v>
      </c>
      <c r="F86" s="13" t="s">
        <v>1054</v>
      </c>
      <c r="G86" s="13" t="s">
        <v>28</v>
      </c>
      <c r="H86" s="13" t="s">
        <v>29</v>
      </c>
      <c r="I86" s="13" t="s">
        <v>663</v>
      </c>
      <c r="J86" s="13" t="s">
        <v>47</v>
      </c>
      <c r="K86" s="13">
        <v>1.0</v>
      </c>
      <c r="L86" s="13">
        <v>0.0</v>
      </c>
      <c r="M86" s="13">
        <v>0.5</v>
      </c>
      <c r="N86" s="13" t="s">
        <v>1064</v>
      </c>
      <c r="O86" s="13" t="s">
        <v>1065</v>
      </c>
      <c r="P86" s="13" t="s">
        <v>1066</v>
      </c>
      <c r="Q86" s="18" t="s">
        <v>1067</v>
      </c>
      <c r="R86" s="19" t="str">
        <f>HYPERLINK("https://docs.google.com/open?id=0B5-iztf28QNJdkcyOFJwUjdwbzQ","Turbulence and Transport (TT) - Ren - Validation of gyrokinetic codes in NSTX-U NBI-heated L-mode plasmas")</f>
        <v>Turbulence and Transport (TT) - Ren - Validation of gyrokinetic codes in NSTX-U NBI-heated L-mode plasmas</v>
      </c>
      <c r="S86" s="20" t="s">
        <v>1068</v>
      </c>
      <c r="T86" s="13" t="s">
        <v>1069</v>
      </c>
      <c r="U86" s="18" t="s">
        <v>1070</v>
      </c>
      <c r="V86" s="19" t="str">
        <f>HYPERLINK("https://docs.google.com/open?id=0B5-iztf28QNJOXphYXNUcG5NSDA","Turbulence and Transport (TT) - Ren - Validation of gyrokinetic codes in NSTX-U NBI-heated L-mode plasmas")</f>
        <v>Turbulence and Transport (TT) - Ren - Validation of gyrokinetic codes in NSTX-U NBI-heated L-mode plasmas</v>
      </c>
      <c r="W86" s="20" t="s">
        <v>1071</v>
      </c>
    </row>
    <row r="87">
      <c r="A87" s="17">
        <v>42054.41742856481</v>
      </c>
      <c r="B87" s="13" t="s">
        <v>1072</v>
      </c>
      <c r="C87" s="13" t="s">
        <v>966</v>
      </c>
      <c r="D87" s="13" t="s">
        <v>1073</v>
      </c>
      <c r="E87" s="13" t="s">
        <v>1074</v>
      </c>
      <c r="F87" s="13" t="s">
        <v>1075</v>
      </c>
      <c r="G87" s="13" t="s">
        <v>1076</v>
      </c>
      <c r="H87" s="13" t="s">
        <v>1077</v>
      </c>
      <c r="I87" s="13" t="s">
        <v>955</v>
      </c>
      <c r="J87" s="13" t="s">
        <v>1078</v>
      </c>
      <c r="K87" s="13">
        <v>1.0</v>
      </c>
      <c r="L87" s="13">
        <v>0.0</v>
      </c>
      <c r="M87" s="13">
        <v>0.5</v>
      </c>
      <c r="N87" s="13" t="s">
        <v>1079</v>
      </c>
      <c r="O87" s="13" t="s">
        <v>1080</v>
      </c>
      <c r="P87" s="13" t="s">
        <v>1081</v>
      </c>
      <c r="Q87" s="18" t="s">
        <v>1082</v>
      </c>
      <c r="R87" s="19" t="str">
        <f>HYPERLINK("https://docs.google.com/open?id=0B5-iztf28QNJbExKaWNYQVhDYWs","Cross-cutting and Enabling (CC) - Reinke - Behaviour of High-Z Impurities in NSTX-U")</f>
        <v>Cross-cutting and Enabling (CC) - Reinke - Behaviour of High-Z Impurities in NSTX-U</v>
      </c>
      <c r="S87" s="20" t="s">
        <v>1083</v>
      </c>
      <c r="T87" s="13" t="s">
        <v>1084</v>
      </c>
      <c r="U87" s="18" t="s">
        <v>1085</v>
      </c>
      <c r="V87" s="19" t="str">
        <f>HYPERLINK("https://docs.google.com/open?id=0B5-iztf28QNJZWZvZTJzeEhkV3c","Materials and PFCs (MP) - Reinke - Behaviour of High-Z Impurities in NSTX-U")</f>
        <v>Materials and PFCs (MP) - Reinke - Behaviour of High-Z Impurities in NSTX-U</v>
      </c>
      <c r="W87" s="20" t="s">
        <v>1086</v>
      </c>
    </row>
    <row r="88">
      <c r="A88" s="17">
        <v>42054.605037303234</v>
      </c>
      <c r="B88" s="13" t="s">
        <v>1087</v>
      </c>
      <c r="C88" s="13" t="s">
        <v>1088</v>
      </c>
      <c r="D88" s="13" t="s">
        <v>1089</v>
      </c>
      <c r="E88" s="13" t="s">
        <v>1090</v>
      </c>
      <c r="F88" s="13" t="s">
        <v>1091</v>
      </c>
      <c r="G88" s="13" t="s">
        <v>28</v>
      </c>
      <c r="H88" s="13" t="s">
        <v>430</v>
      </c>
      <c r="I88" s="13" t="s">
        <v>592</v>
      </c>
      <c r="J88" s="13" t="s">
        <v>47</v>
      </c>
      <c r="K88" s="13">
        <v>2.0</v>
      </c>
      <c r="L88" s="13">
        <v>1.0</v>
      </c>
      <c r="M88" s="13">
        <v>1.0</v>
      </c>
      <c r="N88" s="13" t="s">
        <v>1092</v>
      </c>
      <c r="O88" s="13" t="s">
        <v>1093</v>
      </c>
      <c r="P88" s="13" t="s">
        <v>1094</v>
      </c>
      <c r="Q88" s="18" t="s">
        <v>1095</v>
      </c>
      <c r="R88" s="19" t="str">
        <f>HYPERLINK("https://docs.google.com/open?id=0B5-iztf28QNJdXg1c3Y1ZTZqRkk","Particle Control Task Force (PC) - Gray - Development of Small ELM regimes")</f>
        <v>Particle Control Task Force (PC) - Gray - Development of Small ELM regimes</v>
      </c>
      <c r="S88" s="20" t="s">
        <v>1096</v>
      </c>
      <c r="T88" s="13" t="s">
        <v>1097</v>
      </c>
      <c r="U88" s="18" t="s">
        <v>1098</v>
      </c>
      <c r="V88" s="19" t="str">
        <f>HYPERLINK("https://docs.google.com/open?id=0B5-iztf28QNJVllZcjE5Nk90OG8","Particle Control Task Force (PC) - Gray - Development of Small ELM regimes")</f>
        <v>Particle Control Task Force (PC) - Gray - Development of Small ELM regimes</v>
      </c>
      <c r="W88" s="20" t="s">
        <v>1099</v>
      </c>
    </row>
    <row r="89">
      <c r="A89" s="17">
        <v>42054.608567696756</v>
      </c>
      <c r="B89" s="13" t="s">
        <v>1100</v>
      </c>
      <c r="C89" s="13" t="s">
        <v>1101</v>
      </c>
      <c r="D89" s="13" t="s">
        <v>1102</v>
      </c>
      <c r="E89" s="13" t="s">
        <v>1103</v>
      </c>
      <c r="F89" s="13" t="s">
        <v>1104</v>
      </c>
      <c r="G89" s="13" t="s">
        <v>28</v>
      </c>
      <c r="H89" s="13" t="s">
        <v>168</v>
      </c>
      <c r="I89" s="13" t="s">
        <v>60</v>
      </c>
      <c r="J89" s="13" t="s">
        <v>1105</v>
      </c>
      <c r="K89" s="13">
        <v>3.0</v>
      </c>
      <c r="L89" s="13">
        <v>0.0</v>
      </c>
      <c r="M89" s="13">
        <v>1.0</v>
      </c>
      <c r="N89" s="13" t="s">
        <v>1106</v>
      </c>
      <c r="O89" s="13" t="s">
        <v>1107</v>
      </c>
      <c r="P89" s="13" t="s">
        <v>1108</v>
      </c>
      <c r="Q89" s="18" t="s">
        <v>1109</v>
      </c>
      <c r="R89" s="19" t="str">
        <f>HYPERLINK("https://docs.google.com/open?id=0B5-iztf28QNJRjlkbjVfM0ZrVWc","Advanced Scenarios and Control (ASC) - Ferron - Compare the benefits of off-axis NBI for advanced scenarios in low and medium aspect ratio devices")</f>
        <v>Advanced Scenarios and Control (ASC) - Ferron - Compare the benefits of off-axis NBI for advanced scenarios in low and medium aspect ratio devices</v>
      </c>
      <c r="S89" s="20" t="s">
        <v>1110</v>
      </c>
      <c r="T89" s="13" t="s">
        <v>1111</v>
      </c>
      <c r="U89" s="18" t="s">
        <v>1112</v>
      </c>
      <c r="V89" s="19" t="str">
        <f>HYPERLINK("https://docs.google.com/open?id=0B5-iztf28QNJV2dGUmhlMjRsWDA","Advanced Scenarios and Control (ASC) - Ferron - Compare the benefits of off-axis NBI for advanced scenarios in low and medium aspect ratio devices")</f>
        <v>Advanced Scenarios and Control (ASC) - Ferron - Compare the benefits of off-axis NBI for advanced scenarios in low and medium aspect ratio devices</v>
      </c>
      <c r="W89" s="20" t="s">
        <v>1113</v>
      </c>
    </row>
    <row r="90">
      <c r="A90" s="17">
        <v>42054.60884453703</v>
      </c>
      <c r="B90" s="13" t="s">
        <v>1114</v>
      </c>
      <c r="C90" s="13" t="s">
        <v>1088</v>
      </c>
      <c r="D90" s="13" t="s">
        <v>1089</v>
      </c>
      <c r="E90" s="13" t="s">
        <v>1090</v>
      </c>
      <c r="F90" s="13" t="s">
        <v>1115</v>
      </c>
      <c r="G90" s="13" t="s">
        <v>28</v>
      </c>
      <c r="H90" s="13" t="s">
        <v>430</v>
      </c>
      <c r="I90" s="13" t="s">
        <v>580</v>
      </c>
      <c r="J90" s="13" t="s">
        <v>1116</v>
      </c>
      <c r="K90" s="13">
        <v>2.0</v>
      </c>
      <c r="L90" s="13">
        <v>1.0</v>
      </c>
      <c r="M90" s="13">
        <v>1.0</v>
      </c>
      <c r="N90" s="13" t="s">
        <v>1117</v>
      </c>
      <c r="O90" s="13" t="s">
        <v>47</v>
      </c>
      <c r="P90" s="13" t="s">
        <v>1118</v>
      </c>
      <c r="Q90" s="18" t="s">
        <v>1119</v>
      </c>
      <c r="R90" s="19" t="str">
        <f>HYPERLINK("https://docs.google.com/open?id=0B5-iztf28QNJSnZtNks2S1EwdWM","Divertor and Scrape-off-layer (DS) - Gray - Heat flux and SOL width Scaling in NSTX-U")</f>
        <v>Divertor and Scrape-off-layer (DS) - Gray - Heat flux and SOL width Scaling in NSTX-U</v>
      </c>
      <c r="S90" s="20" t="s">
        <v>1120</v>
      </c>
      <c r="T90" s="13" t="s">
        <v>1121</v>
      </c>
      <c r="U90" s="18" t="s">
        <v>1122</v>
      </c>
      <c r="V90" s="19" t="str">
        <f>HYPERLINK("https://docs.google.com/open?id=0B5-iztf28QNJTnV1Z2h2TTZ2ejA","Divertor and Scrape-off-layer (DS) - Gray - Heat flux and SOL width Scaling in NSTX-U")</f>
        <v>Divertor and Scrape-off-layer (DS) - Gray - Heat flux and SOL width Scaling in NSTX-U</v>
      </c>
      <c r="W90" s="20" t="s">
        <v>1123</v>
      </c>
    </row>
    <row r="91">
      <c r="A91" s="17">
        <v>42054.61128034722</v>
      </c>
      <c r="B91" s="13" t="s">
        <v>1124</v>
      </c>
      <c r="C91" s="13" t="s">
        <v>1125</v>
      </c>
      <c r="D91" s="13" t="s">
        <v>1126</v>
      </c>
      <c r="E91" s="13" t="s">
        <v>1127</v>
      </c>
      <c r="F91" s="13" t="s">
        <v>1128</v>
      </c>
      <c r="G91" s="13" t="s">
        <v>28</v>
      </c>
      <c r="H91" s="13" t="s">
        <v>430</v>
      </c>
      <c r="I91" s="13" t="s">
        <v>819</v>
      </c>
      <c r="J91" s="13" t="s">
        <v>47</v>
      </c>
      <c r="K91" s="13">
        <v>1.0</v>
      </c>
      <c r="L91" s="13">
        <v>0.0</v>
      </c>
      <c r="M91" s="13">
        <v>1.0</v>
      </c>
      <c r="N91" s="13" t="s">
        <v>1129</v>
      </c>
      <c r="O91" s="13" t="s">
        <v>1130</v>
      </c>
      <c r="P91" s="13" t="s">
        <v>1131</v>
      </c>
      <c r="Q91" s="18" t="s">
        <v>1132</v>
      </c>
      <c r="R91" s="19" t="str">
        <f>HYPERLINK("https://docs.google.com/open?id=0B5-iztf28QNJeENjZDZTd3lzd2M","Wave Heating and Current Drive (RF) - Lau - Validating HHFW coupling/loading models with experimental measurements in NSTX-U")</f>
        <v>Wave Heating and Current Drive (RF) - Lau - Validating HHFW coupling/loading models with experimental measurements in NSTX-U</v>
      </c>
      <c r="S91" s="20" t="s">
        <v>1133</v>
      </c>
      <c r="T91" s="13" t="s">
        <v>1134</v>
      </c>
      <c r="U91" s="18" t="s">
        <v>1135</v>
      </c>
      <c r="V91" s="19" t="str">
        <f>HYPERLINK("https://docs.google.com/open?id=0B5-iztf28QNJUjRPVzVUVjE1ODQ","Wave Heating and Current Drive (RF) - Lau - Validating HHFW coupling/loading models with experimental measurements in NSTX-U")</f>
        <v>Wave Heating and Current Drive (RF) - Lau - Validating HHFW coupling/loading models with experimental measurements in NSTX-U</v>
      </c>
      <c r="W91" s="20" t="s">
        <v>1136</v>
      </c>
    </row>
    <row r="92">
      <c r="A92" s="17">
        <v>42054.611676932866</v>
      </c>
      <c r="B92" s="13" t="s">
        <v>1137</v>
      </c>
      <c r="C92" s="13" t="s">
        <v>24</v>
      </c>
      <c r="D92" s="13" t="s">
        <v>25</v>
      </c>
      <c r="E92" s="13" t="s">
        <v>26</v>
      </c>
      <c r="F92" s="13" t="s">
        <v>1138</v>
      </c>
      <c r="G92" s="13" t="s">
        <v>28</v>
      </c>
      <c r="H92" s="13" t="s">
        <v>29</v>
      </c>
      <c r="I92" s="13" t="s">
        <v>592</v>
      </c>
      <c r="J92" s="13" t="s">
        <v>47</v>
      </c>
      <c r="K92" s="13">
        <v>1.5</v>
      </c>
      <c r="L92" s="13">
        <v>1.0</v>
      </c>
      <c r="M92" s="13">
        <v>0.5</v>
      </c>
      <c r="N92" s="13" t="s">
        <v>1139</v>
      </c>
      <c r="O92" s="13" t="s">
        <v>1140</v>
      </c>
      <c r="P92" s="13" t="s">
        <v>1141</v>
      </c>
      <c r="Q92" s="18" t="s">
        <v>1142</v>
      </c>
      <c r="R92" s="19" t="str">
        <f>HYPERLINK("https://docs.google.com/open?id=0B5-iztf28QNJZTM3bnh0RGdtM0U","Particle Control Task Force (PC) - Battaglia - Establish minimum SOF density vs Ip ramp rate")</f>
        <v>Particle Control Task Force (PC) - Battaglia - Establish minimum SOF density vs Ip ramp rate</v>
      </c>
      <c r="S92" s="20" t="s">
        <v>1143</v>
      </c>
      <c r="T92" s="13" t="s">
        <v>1144</v>
      </c>
      <c r="U92" s="18" t="s">
        <v>1145</v>
      </c>
      <c r="V92" s="19" t="str">
        <f>HYPERLINK("https://docs.google.com/open?id=0B5-iztf28QNJaGhpX0hPQkhZMzQ","Particle Control Task Force (PC) - Battaglia - Establish minimum SOF density vs Ip ramp rate")</f>
        <v>Particle Control Task Force (PC) - Battaglia - Establish minimum SOF density vs Ip ramp rate</v>
      </c>
      <c r="W92" s="20" t="s">
        <v>1146</v>
      </c>
    </row>
    <row r="93">
      <c r="A93" s="17">
        <v>42054.62105635417</v>
      </c>
      <c r="B93" s="13" t="s">
        <v>1100</v>
      </c>
      <c r="C93" s="13" t="s">
        <v>1101</v>
      </c>
      <c r="D93" s="13" t="s">
        <v>1102</v>
      </c>
      <c r="E93" s="13" t="s">
        <v>1103</v>
      </c>
      <c r="F93" s="13" t="s">
        <v>1104</v>
      </c>
      <c r="G93" s="13" t="s">
        <v>28</v>
      </c>
      <c r="H93" s="13" t="s">
        <v>168</v>
      </c>
      <c r="I93" s="13" t="s">
        <v>169</v>
      </c>
      <c r="J93" s="13" t="s">
        <v>1147</v>
      </c>
      <c r="K93" s="13">
        <v>3.0</v>
      </c>
      <c r="L93" s="13">
        <v>0.0</v>
      </c>
      <c r="M93" s="13">
        <v>1.0</v>
      </c>
      <c r="N93" s="13" t="s">
        <v>1106</v>
      </c>
      <c r="O93" s="13" t="s">
        <v>1107</v>
      </c>
      <c r="P93" s="13" t="s">
        <v>1148</v>
      </c>
      <c r="Q93" s="18" t="s">
        <v>1149</v>
      </c>
      <c r="R93" s="19" t="str">
        <f>HYPERLINK("https://docs.google.com/open?id=0B5-iztf28QNJOHNSU1JfaTBoaTQ","Macroscopic Stability (MS) - Ferron - Compare the benefits of off-axis NBI for advanced scenarios in low and medium aspect ratio devices")</f>
        <v>Macroscopic Stability (MS) - Ferron - Compare the benefits of off-axis NBI for advanced scenarios in low and medium aspect ratio devices</v>
      </c>
      <c r="S93" s="20" t="s">
        <v>1150</v>
      </c>
      <c r="T93" s="13" t="s">
        <v>1151</v>
      </c>
      <c r="U93" s="18" t="s">
        <v>1152</v>
      </c>
      <c r="V93" s="19" t="str">
        <f>HYPERLINK("https://docs.google.com/open?id=0B5-iztf28QNJNF9QYXpRbGNkNzA","Macroscopic Stability (MS) - Ferron - Compare the benefits of off-axis NBI for advanced scenarios in low and medium aspect ratio devices")</f>
        <v>Macroscopic Stability (MS) - Ferron - Compare the benefits of off-axis NBI for advanced scenarios in low and medium aspect ratio devices</v>
      </c>
      <c r="W93" s="20" t="s">
        <v>1153</v>
      </c>
    </row>
    <row r="94">
      <c r="A94" s="17">
        <v>42054.638875</v>
      </c>
      <c r="B94" s="13" t="s">
        <v>1154</v>
      </c>
      <c r="C94" s="13" t="s">
        <v>1088</v>
      </c>
      <c r="D94" s="13" t="s">
        <v>1089</v>
      </c>
      <c r="E94" s="13" t="s">
        <v>1090</v>
      </c>
      <c r="F94" s="13" t="s">
        <v>1155</v>
      </c>
      <c r="G94" s="13" t="s">
        <v>28</v>
      </c>
      <c r="H94" s="13" t="s">
        <v>430</v>
      </c>
      <c r="I94" s="13" t="s">
        <v>154</v>
      </c>
      <c r="J94" s="13" t="s">
        <v>47</v>
      </c>
      <c r="K94" s="13">
        <v>1.0</v>
      </c>
      <c r="L94" s="13">
        <v>1.0</v>
      </c>
      <c r="M94" s="13">
        <v>0.5</v>
      </c>
      <c r="N94" s="13" t="s">
        <v>1156</v>
      </c>
      <c r="O94" s="13" t="s">
        <v>47</v>
      </c>
      <c r="P94" s="13" t="s">
        <v>1157</v>
      </c>
      <c r="Q94" s="18" t="s">
        <v>1158</v>
      </c>
      <c r="R94" s="19" t="str">
        <f>HYPERLINK("https://docs.google.com/open?id=0B5-iztf28QNJZ1g2NGJSbmpjbVE","Cross-cutting and Enabling (CC) - Gray - drsep Control Check-out")</f>
        <v>Cross-cutting and Enabling (CC) - Gray - drsep Control Check-out</v>
      </c>
      <c r="S94" s="20" t="s">
        <v>1159</v>
      </c>
      <c r="T94" s="13" t="s">
        <v>1160</v>
      </c>
      <c r="U94" s="18" t="s">
        <v>1161</v>
      </c>
      <c r="V94" s="19" t="str">
        <f>HYPERLINK("https://docs.google.com/open?id=0B5-iztf28QNJYXU5RERGcFFmWE0","Cross-cutting and Enabling (CC) - Gray - drsep Control Check-out")</f>
        <v>Cross-cutting and Enabling (CC) - Gray - drsep Control Check-out</v>
      </c>
      <c r="W94" s="20" t="s">
        <v>1162</v>
      </c>
    </row>
    <row r="95">
      <c r="A95" s="17">
        <v>42054.64086935185</v>
      </c>
      <c r="B95" s="13" t="s">
        <v>1163</v>
      </c>
      <c r="C95" s="13" t="s">
        <v>1088</v>
      </c>
      <c r="D95" s="13" t="s">
        <v>1089</v>
      </c>
      <c r="E95" s="13" t="s">
        <v>1090</v>
      </c>
      <c r="F95" s="13" t="s">
        <v>1164</v>
      </c>
      <c r="G95" s="13" t="s">
        <v>28</v>
      </c>
      <c r="H95" s="13" t="s">
        <v>430</v>
      </c>
      <c r="I95" s="13" t="s">
        <v>154</v>
      </c>
      <c r="J95" s="13" t="s">
        <v>47</v>
      </c>
      <c r="K95" s="13">
        <v>1.0</v>
      </c>
      <c r="L95" s="13">
        <v>1.0</v>
      </c>
      <c r="M95" s="13">
        <v>0.5</v>
      </c>
      <c r="N95" s="13" t="s">
        <v>1165</v>
      </c>
      <c r="O95" s="13" t="s">
        <v>1166</v>
      </c>
      <c r="P95" s="13" t="s">
        <v>1167</v>
      </c>
      <c r="Q95" s="18" t="s">
        <v>1168</v>
      </c>
      <c r="R95" s="19" t="str">
        <f>HYPERLINK("https://docs.google.com/open?id=0B5-iztf28QNJQkdJUUpkSnhsSU0","Cross-cutting and Enabling (CC) - Gray - Discharge Development of Double Null Plasmas")</f>
        <v>Cross-cutting and Enabling (CC) - Gray - Discharge Development of Double Null Plasmas</v>
      </c>
      <c r="S95" s="20" t="s">
        <v>1169</v>
      </c>
      <c r="T95" s="13" t="s">
        <v>1170</v>
      </c>
      <c r="U95" s="18" t="s">
        <v>1171</v>
      </c>
      <c r="V95" s="19" t="str">
        <f>HYPERLINK("https://docs.google.com/open?id=0B5-iztf28QNJVFdtZ3lFSXB1ZjQ","Cross-cutting and Enabling (CC) - Gray - Discharge Development of Double Null Plasmas")</f>
        <v>Cross-cutting and Enabling (CC) - Gray - Discharge Development of Double Null Plasmas</v>
      </c>
      <c r="W95" s="20" t="s">
        <v>1172</v>
      </c>
    </row>
    <row r="96">
      <c r="A96" s="17">
        <v>42054.655433252316</v>
      </c>
      <c r="B96" s="13" t="s">
        <v>1173</v>
      </c>
      <c r="C96" s="13" t="s">
        <v>1174</v>
      </c>
      <c r="D96" s="13" t="s">
        <v>1175</v>
      </c>
      <c r="E96" s="13" t="s">
        <v>1176</v>
      </c>
      <c r="F96" s="13" t="s">
        <v>1177</v>
      </c>
      <c r="G96" s="13" t="s">
        <v>28</v>
      </c>
      <c r="H96" s="13" t="s">
        <v>1178</v>
      </c>
      <c r="I96" s="13" t="s">
        <v>545</v>
      </c>
      <c r="J96" s="13" t="s">
        <v>31</v>
      </c>
      <c r="K96" s="13">
        <v>1.0</v>
      </c>
      <c r="L96" s="13">
        <v>0.0</v>
      </c>
      <c r="M96" s="13">
        <v>1.0</v>
      </c>
      <c r="N96" s="13" t="s">
        <v>1179</v>
      </c>
      <c r="O96" s="13" t="s">
        <v>1180</v>
      </c>
      <c r="P96" s="13" t="s">
        <v>1181</v>
      </c>
      <c r="Q96" s="18" t="s">
        <v>1182</v>
      </c>
      <c r="R96" s="19" t="str">
        <f>HYPERLINK("https://docs.google.com/open?id=0B5-iztf28QNJSEliX01PZ2Nma1U","Solenoid-free Start-up and Ramp-up (SR) - Ebrahimi - Plasmoid instabiltiy during CHI startup")</f>
        <v>Solenoid-free Start-up and Ramp-up (SR) - Ebrahimi - Plasmoid instabiltiy during CHI startup</v>
      </c>
      <c r="S96" s="20" t="s">
        <v>1183</v>
      </c>
      <c r="T96" s="13" t="s">
        <v>1184</v>
      </c>
      <c r="U96" s="18" t="s">
        <v>1185</v>
      </c>
      <c r="V96" s="19" t="str">
        <f>HYPERLINK("https://docs.google.com/open?id=0B5-iztf28QNJUGZzMm9ZVDBXZUE","Solenoid-free Start-up and Ramp-up (SR) - Ebrahimi - Plasmoid instabiltiy during CHI startup")</f>
        <v>Solenoid-free Start-up and Ramp-up (SR) - Ebrahimi - Plasmoid instabiltiy during CHI startup</v>
      </c>
      <c r="W96" s="20" t="s">
        <v>1186</v>
      </c>
    </row>
    <row r="97">
      <c r="A97" s="17">
        <v>42057.827473969905</v>
      </c>
      <c r="B97" s="13" t="s">
        <v>1187</v>
      </c>
      <c r="C97" s="13" t="s">
        <v>1188</v>
      </c>
      <c r="D97" s="13" t="s">
        <v>738</v>
      </c>
      <c r="E97" s="13" t="s">
        <v>1189</v>
      </c>
      <c r="F97" s="13" t="s">
        <v>1190</v>
      </c>
      <c r="G97" s="13" t="s">
        <v>1191</v>
      </c>
      <c r="H97" s="13" t="s">
        <v>29</v>
      </c>
      <c r="I97" s="13" t="s">
        <v>169</v>
      </c>
      <c r="J97" s="13" t="s">
        <v>1192</v>
      </c>
      <c r="K97" s="13">
        <v>1.0</v>
      </c>
      <c r="L97" s="13">
        <v>0.0</v>
      </c>
      <c r="M97" s="13">
        <v>0.5</v>
      </c>
      <c r="N97" s="13" t="s">
        <v>1193</v>
      </c>
      <c r="O97" s="13" t="s">
        <v>1194</v>
      </c>
      <c r="P97" s="13" t="s">
        <v>1195</v>
      </c>
      <c r="Q97" s="18" t="s">
        <v>1196</v>
      </c>
      <c r="R97" s="19" t="str">
        <f>HYPERLINK("https://docs.google.com/open?id=0B5-iztf28QNJdFowM3JhcDVFSlk","Macroscopic Stability (MS) - Park - Resonant error field threshold with non-resonant braking ")</f>
        <v>Macroscopic Stability (MS) - Park - Resonant error field threshold with non-resonant braking </v>
      </c>
      <c r="S97" s="20" t="s">
        <v>1197</v>
      </c>
      <c r="T97" s="13" t="s">
        <v>1198</v>
      </c>
      <c r="U97" s="18" t="s">
        <v>1199</v>
      </c>
      <c r="V97" s="19" t="str">
        <f>HYPERLINK("https://docs.google.com/open?id=0B5-iztf28QNJdS1MeW8tV1BGc3c","Macroscopic Stability (MS) - Park - Resonant error field threshold with non-resonant braking ")</f>
        <v>Macroscopic Stability (MS) - Park - Resonant error field threshold with non-resonant braking </v>
      </c>
      <c r="W97" s="20" t="s">
        <v>1200</v>
      </c>
    </row>
    <row r="98">
      <c r="A98" s="17">
        <v>42057.82446633102</v>
      </c>
      <c r="B98" s="13" t="s">
        <v>1201</v>
      </c>
      <c r="C98" s="13" t="s">
        <v>1188</v>
      </c>
      <c r="D98" s="13" t="s">
        <v>738</v>
      </c>
      <c r="E98" s="13" t="s">
        <v>1189</v>
      </c>
      <c r="F98" s="13" t="s">
        <v>1202</v>
      </c>
      <c r="G98" s="13" t="s">
        <v>1191</v>
      </c>
      <c r="H98" s="13" t="s">
        <v>29</v>
      </c>
      <c r="I98" s="13" t="s">
        <v>663</v>
      </c>
      <c r="J98" s="13" t="s">
        <v>47</v>
      </c>
      <c r="K98" s="13">
        <v>0.5</v>
      </c>
      <c r="L98" s="13">
        <v>0.0</v>
      </c>
      <c r="M98" s="13">
        <v>0.5</v>
      </c>
      <c r="N98" s="13" t="s">
        <v>1203</v>
      </c>
      <c r="O98" s="13" t="s">
        <v>1204</v>
      </c>
      <c r="P98" s="13" t="s">
        <v>1205</v>
      </c>
      <c r="Q98" s="18" t="s">
        <v>1206</v>
      </c>
      <c r="R98" s="19" t="str">
        <f>HYPERLINK("https://docs.google.com/open?id=0B5-iztf28QNJbWlINXNzcERYMEE","Turbulence and Transport (TT) - Park - Localized 3d field effects on momentum transport and confinement")</f>
        <v>Turbulence and Transport (TT) - Park - Localized 3d field effects on momentum transport and confinement</v>
      </c>
      <c r="S98" s="20" t="s">
        <v>1207</v>
      </c>
      <c r="T98" s="13" t="s">
        <v>1208</v>
      </c>
      <c r="U98" s="18" t="s">
        <v>1209</v>
      </c>
      <c r="V98" s="19" t="str">
        <f>HYPERLINK("https://docs.google.com/open?id=0B5-iztf28QNJbzhlRTVTY1FYRlk","Turbulence and Transport (TT) - Park - Localized 3d field effects on momentum transport and confinement")</f>
        <v>Turbulence and Transport (TT) - Park - Localized 3d field effects on momentum transport and confinement</v>
      </c>
      <c r="W98" s="20" t="s">
        <v>1210</v>
      </c>
    </row>
    <row r="99">
      <c r="A99" s="17">
        <v>42054.86369637731</v>
      </c>
      <c r="B99" s="13" t="s">
        <v>1211</v>
      </c>
      <c r="C99" s="13" t="s">
        <v>179</v>
      </c>
      <c r="D99" s="13" t="s">
        <v>180</v>
      </c>
      <c r="E99" s="13" t="s">
        <v>181</v>
      </c>
      <c r="F99" s="13" t="s">
        <v>1212</v>
      </c>
      <c r="G99" s="13" t="s">
        <v>28</v>
      </c>
      <c r="H99" s="13" t="s">
        <v>29</v>
      </c>
      <c r="I99" s="13" t="s">
        <v>169</v>
      </c>
      <c r="J99" s="13" t="s">
        <v>1213</v>
      </c>
      <c r="K99" s="13">
        <v>1.0</v>
      </c>
      <c r="L99" s="13">
        <v>0.0</v>
      </c>
      <c r="M99" s="13">
        <v>0.5</v>
      </c>
      <c r="N99" s="13" t="s">
        <v>1214</v>
      </c>
      <c r="O99" s="13" t="s">
        <v>1215</v>
      </c>
      <c r="P99" s="13" t="s">
        <v>1216</v>
      </c>
      <c r="Q99" s="18" t="s">
        <v>1217</v>
      </c>
      <c r="R99" s="19" t="str">
        <f>HYPERLINK("https://docs.google.com/open?id=0B5-iztf28QNJN1ZVYW9WaVF3R2s","Macroscopic Stability (MS) - Myers - Low-beta, low-density locked mode studies")</f>
        <v>Macroscopic Stability (MS) - Myers - Low-beta, low-density locked mode studies</v>
      </c>
      <c r="S99" s="20" t="s">
        <v>1218</v>
      </c>
      <c r="T99" s="13" t="s">
        <v>1219</v>
      </c>
      <c r="U99" s="18" t="s">
        <v>1220</v>
      </c>
      <c r="V99" s="19" t="str">
        <f>HYPERLINK("https://docs.google.com/open?id=0B5-iztf28QNJOV9yY2p4QzRqM28","Macroscopic Stability (MS) - Myers - Low-beta, low-density locked mode studies")</f>
        <v>Macroscopic Stability (MS) - Myers - Low-beta, low-density locked mode studies</v>
      </c>
      <c r="W99" s="20" t="s">
        <v>1221</v>
      </c>
    </row>
    <row r="100">
      <c r="A100" s="17">
        <v>42054.86580644675</v>
      </c>
      <c r="B100" s="13" t="s">
        <v>1222</v>
      </c>
      <c r="C100" s="13" t="s">
        <v>179</v>
      </c>
      <c r="D100" s="13" t="s">
        <v>180</v>
      </c>
      <c r="E100" s="13" t="s">
        <v>181</v>
      </c>
      <c r="F100" s="13" t="s">
        <v>1223</v>
      </c>
      <c r="G100" s="13" t="s">
        <v>28</v>
      </c>
      <c r="H100" s="13" t="s">
        <v>29</v>
      </c>
      <c r="I100" s="13" t="s">
        <v>169</v>
      </c>
      <c r="J100" s="13" t="s">
        <v>1213</v>
      </c>
      <c r="K100" s="13">
        <v>1.0</v>
      </c>
      <c r="L100" s="13">
        <v>0.0</v>
      </c>
      <c r="M100" s="13">
        <v>0.5</v>
      </c>
      <c r="N100" s="13" t="s">
        <v>1224</v>
      </c>
      <c r="O100" s="13" t="s">
        <v>1225</v>
      </c>
      <c r="P100" s="13" t="s">
        <v>1226</v>
      </c>
      <c r="Q100" s="18" t="s">
        <v>1227</v>
      </c>
      <c r="R100" s="19" t="str">
        <f>HYPERLINK("https://docs.google.com/open?id=0B5-iztf28QNJMjlsX194R1kwTU0","Macroscopic Stability (MS) - Myers - High-beta n=1,2,3 feed-forward error field correction")</f>
        <v>Macroscopic Stability (MS) - Myers - High-beta n=1,2,3 feed-forward error field correction</v>
      </c>
      <c r="S100" s="20" t="s">
        <v>1228</v>
      </c>
      <c r="T100" s="13" t="s">
        <v>1229</v>
      </c>
      <c r="U100" s="18" t="s">
        <v>1230</v>
      </c>
      <c r="V100" s="19" t="str">
        <f>HYPERLINK("https://docs.google.com/open?id=0B5-iztf28QNJZW8xeHRZbG1LZmc","Macroscopic Stability (MS) - Myers - High-beta n=1,2,3 feed-forward error field correction")</f>
        <v>Macroscopic Stability (MS) - Myers - High-beta n=1,2,3 feed-forward error field correction</v>
      </c>
      <c r="W100" s="20" t="s">
        <v>1231</v>
      </c>
    </row>
    <row r="101">
      <c r="A101" s="17">
        <v>42054.86690084491</v>
      </c>
      <c r="B101" s="13" t="s">
        <v>1232</v>
      </c>
      <c r="C101" s="13" t="s">
        <v>179</v>
      </c>
      <c r="D101" s="13" t="s">
        <v>180</v>
      </c>
      <c r="E101" s="13" t="s">
        <v>181</v>
      </c>
      <c r="F101" s="13" t="s">
        <v>1212</v>
      </c>
      <c r="G101" s="13" t="s">
        <v>28</v>
      </c>
      <c r="H101" s="13" t="s">
        <v>29</v>
      </c>
      <c r="I101" s="13" t="s">
        <v>169</v>
      </c>
      <c r="J101" s="13" t="s">
        <v>1213</v>
      </c>
      <c r="K101" s="13">
        <v>1.0</v>
      </c>
      <c r="L101" s="13">
        <v>0.0</v>
      </c>
      <c r="M101" s="13">
        <v>0.5</v>
      </c>
      <c r="N101" s="13" t="s">
        <v>1233</v>
      </c>
      <c r="O101" s="13" t="s">
        <v>1234</v>
      </c>
      <c r="P101" s="13" t="s">
        <v>1235</v>
      </c>
      <c r="Q101" s="18" t="s">
        <v>1236</v>
      </c>
      <c r="R101" s="19" t="str">
        <f>HYPERLINK("https://docs.google.com/open?id=0B5-iztf28QNJbDhBZ2JSZnlrM2M","Macroscopic Stability (MS) - Myers - Optimization of PID dynamic error field correction")</f>
        <v>Macroscopic Stability (MS) - Myers - Optimization of PID dynamic error field correction</v>
      </c>
      <c r="S101" s="20" t="s">
        <v>1237</v>
      </c>
      <c r="T101" s="13" t="s">
        <v>1238</v>
      </c>
      <c r="U101" s="18" t="s">
        <v>1239</v>
      </c>
      <c r="V101" s="19" t="str">
        <f>HYPERLINK("https://docs.google.com/open?id=0B5-iztf28QNJeW5QSTRlVnJZa1k","Macroscopic Stability (MS) - Myers - Optimization of PID dynamic error field correction")</f>
        <v>Macroscopic Stability (MS) - Myers - Optimization of PID dynamic error field correction</v>
      </c>
      <c r="W101" s="20" t="s">
        <v>1240</v>
      </c>
    </row>
    <row r="102">
      <c r="A102" s="17">
        <v>42054.90822184028</v>
      </c>
      <c r="B102" s="13" t="s">
        <v>1241</v>
      </c>
      <c r="C102" s="13" t="s">
        <v>266</v>
      </c>
      <c r="D102" s="13" t="s">
        <v>267</v>
      </c>
      <c r="E102" s="13" t="s">
        <v>268</v>
      </c>
      <c r="F102" s="13" t="s">
        <v>1242</v>
      </c>
      <c r="G102" s="13" t="s">
        <v>270</v>
      </c>
      <c r="H102" s="13" t="s">
        <v>271</v>
      </c>
      <c r="I102" s="13" t="s">
        <v>492</v>
      </c>
      <c r="J102" s="13" t="s">
        <v>272</v>
      </c>
      <c r="K102" s="13">
        <v>1.5</v>
      </c>
      <c r="L102" s="13">
        <v>0.0</v>
      </c>
      <c r="M102" s="13">
        <v>1.0</v>
      </c>
      <c r="N102" s="13" t="s">
        <v>1243</v>
      </c>
      <c r="O102" s="13" t="s">
        <v>1244</v>
      </c>
      <c r="P102" s="13" t="s">
        <v>1245</v>
      </c>
      <c r="Q102" s="18" t="s">
        <v>1246</v>
      </c>
      <c r="R102" s="19" t="str">
        <f>HYPERLINK("https://docs.google.com/open?id=0B5-iztf28QNJVXBUVmdOc2pobjQ","Energetic Particles (EP) - Liu - Beam ion confinement of 2nd NBI")</f>
        <v>Energetic Particles (EP) - Liu - Beam ion confinement of 2nd NBI</v>
      </c>
      <c r="S102" s="20" t="s">
        <v>1247</v>
      </c>
      <c r="T102" s="13" t="s">
        <v>1248</v>
      </c>
      <c r="U102" s="18" t="s">
        <v>1249</v>
      </c>
      <c r="V102" s="19" t="str">
        <f>HYPERLINK("https://docs.google.com/open?id=0B5-iztf28QNJQ2VSaFZoOG9wems","Energetic Particles (EP) - Liu - Beam ion confinement of 2nd NBI")</f>
        <v>Energetic Particles (EP) - Liu - Beam ion confinement of 2nd NBI</v>
      </c>
      <c r="W102" s="20" t="s">
        <v>1250</v>
      </c>
    </row>
    <row r="103">
      <c r="A103" s="17">
        <v>42054.98060525463</v>
      </c>
      <c r="B103" s="13" t="s">
        <v>1251</v>
      </c>
      <c r="C103" s="13" t="s">
        <v>1252</v>
      </c>
      <c r="D103" s="13" t="s">
        <v>1253</v>
      </c>
      <c r="E103" s="13" t="s">
        <v>1254</v>
      </c>
      <c r="F103" s="13" t="s">
        <v>1255</v>
      </c>
      <c r="G103" s="13" t="s">
        <v>28</v>
      </c>
      <c r="H103" s="13" t="s">
        <v>29</v>
      </c>
      <c r="I103" s="13" t="s">
        <v>169</v>
      </c>
      <c r="J103" s="13" t="s">
        <v>47</v>
      </c>
      <c r="K103" s="13">
        <v>1.0</v>
      </c>
      <c r="L103" s="13">
        <v>0.0</v>
      </c>
      <c r="M103" s="13">
        <v>1.0</v>
      </c>
      <c r="N103" s="13" t="s">
        <v>1256</v>
      </c>
      <c r="O103" s="13" t="s">
        <v>1257</v>
      </c>
      <c r="P103" s="13" t="s">
        <v>1258</v>
      </c>
      <c r="Q103" s="18" t="s">
        <v>1259</v>
      </c>
      <c r="R103" s="19" t="str">
        <f>HYPERLINK("https://docs.google.com/open?id=0B5-iztf28QNJMzNnWDlUUC11NHc","Macroscopic Stability (MS) - Okabayashi - Comparative study of the Electro-magnetic torque application through feedback for NTM locking avoidance in DIII-D, RFX-mod and NSTX")</f>
        <v>Macroscopic Stability (MS) - Okabayashi - Comparative study of the Electro-magnetic torque application through feedback for NTM locking avoidance in DIII-D, RFX-mod and NSTX</v>
      </c>
      <c r="S103" s="20" t="s">
        <v>1260</v>
      </c>
      <c r="T103" s="13" t="s">
        <v>1261</v>
      </c>
      <c r="U103" s="18" t="s">
        <v>1262</v>
      </c>
      <c r="V103" s="19" t="str">
        <f>HYPERLINK("https://docs.google.com/open?id=0B5-iztf28QNJV1VfVnFpRzhkUzg","Macroscopic Stability (MS) - Okabayashi - Comparative study of the Electro-magnetic torque application through feedback for NTM locking avoidance in DIII-D, RFX-mod and NSTX")</f>
        <v>Macroscopic Stability (MS) - Okabayashi - Comparative study of the Electro-magnetic torque application through feedback for NTM locking avoidance in DIII-D, RFX-mod and NSTX</v>
      </c>
      <c r="W103" s="20" t="s">
        <v>1263</v>
      </c>
    </row>
    <row r="104">
      <c r="A104" s="17">
        <v>42054.988261782404</v>
      </c>
      <c r="B104" s="13" t="s">
        <v>1264</v>
      </c>
      <c r="C104" s="13" t="s">
        <v>1265</v>
      </c>
      <c r="D104" s="13" t="s">
        <v>1266</v>
      </c>
      <c r="E104" s="13" t="s">
        <v>1267</v>
      </c>
      <c r="F104" s="13" t="s">
        <v>1268</v>
      </c>
      <c r="G104" s="13" t="s">
        <v>28</v>
      </c>
      <c r="H104" s="13" t="s">
        <v>29</v>
      </c>
      <c r="I104" s="13" t="s">
        <v>663</v>
      </c>
      <c r="J104" s="13" t="s">
        <v>1269</v>
      </c>
      <c r="K104" s="13">
        <v>1.0</v>
      </c>
      <c r="L104" s="13">
        <v>0.0</v>
      </c>
      <c r="M104" s="13">
        <v>1.0</v>
      </c>
      <c r="N104" s="13" t="s">
        <v>1270</v>
      </c>
      <c r="O104" s="13" t="s">
        <v>1271</v>
      </c>
      <c r="P104" s="13" t="s">
        <v>1272</v>
      </c>
      <c r="Q104" s="18" t="s">
        <v>1273</v>
      </c>
      <c r="R104" s="19" t="str">
        <f>HYPERLINK("https://docs.google.com/open?id=0B5-iztf28QNJeUdXdmJBemRUYUE","Turbulence and Transport (TT) - Delgado-Aparicio - Impurity transport in electron RF–heated scenarios")</f>
        <v>Turbulence and Transport (TT) - Delgado-Aparicio - Impurity transport in electron RF–heated scenarios</v>
      </c>
      <c r="S104" s="20" t="s">
        <v>1274</v>
      </c>
      <c r="T104" s="13" t="s">
        <v>1275</v>
      </c>
      <c r="U104" s="18" t="s">
        <v>1276</v>
      </c>
      <c r="V104" s="19" t="str">
        <f>HYPERLINK("https://docs.google.com/open?id=0B5-iztf28QNJUUFVVmNHaDFyS1E","Turbulence and Transport (TT) - Delgado-Aparicio - Impurity transport in electron RF–heated scenarios")</f>
        <v>Turbulence and Transport (TT) - Delgado-Aparicio - Impurity transport in electron RF–heated scenarios</v>
      </c>
      <c r="W104" s="20" t="s">
        <v>1277</v>
      </c>
    </row>
    <row r="105">
      <c r="A105" s="17">
        <v>42054.990896863426</v>
      </c>
      <c r="B105" s="13" t="s">
        <v>1278</v>
      </c>
      <c r="C105" s="13" t="s">
        <v>1265</v>
      </c>
      <c r="D105" s="13" t="s">
        <v>1266</v>
      </c>
      <c r="E105" s="13" t="s">
        <v>1267</v>
      </c>
      <c r="F105" s="13" t="s">
        <v>1279</v>
      </c>
      <c r="G105" s="13" t="s">
        <v>28</v>
      </c>
      <c r="H105" s="13" t="s">
        <v>29</v>
      </c>
      <c r="I105" s="13" t="s">
        <v>663</v>
      </c>
      <c r="J105" s="13" t="s">
        <v>1280</v>
      </c>
      <c r="K105" s="13">
        <v>1.0</v>
      </c>
      <c r="L105" s="13">
        <v>0.0</v>
      </c>
      <c r="M105" s="13">
        <v>1.0</v>
      </c>
      <c r="N105" s="13" t="s">
        <v>1281</v>
      </c>
      <c r="O105" s="13" t="s">
        <v>1282</v>
      </c>
      <c r="P105" s="13" t="s">
        <v>1283</v>
      </c>
      <c r="Q105" s="18" t="s">
        <v>1284</v>
      </c>
      <c r="R105" s="19" t="str">
        <f>HYPERLINK("https://docs.google.com/open?id=0B5-iztf28QNJSVMzWTRIVjJzaUU","Turbulence and Transport (TT) - Delgado-Aparicio - Impurity transport vs torque in NBI heated H-Modes")</f>
        <v>Turbulence and Transport (TT) - Delgado-Aparicio - Impurity transport vs torque in NBI heated H-Modes</v>
      </c>
      <c r="S105" s="20" t="s">
        <v>1285</v>
      </c>
      <c r="T105" s="13" t="s">
        <v>1286</v>
      </c>
      <c r="U105" s="18" t="s">
        <v>1287</v>
      </c>
      <c r="V105" s="19" t="str">
        <f>HYPERLINK("https://docs.google.com/open?id=0B5-iztf28QNJTzVpbVBIRURVQnc","Turbulence and Transport (TT) - Delgado-Aparicio - Impurity transport vs torque in NBI heated H-Modes")</f>
        <v>Turbulence and Transport (TT) - Delgado-Aparicio - Impurity transport vs torque in NBI heated H-Modes</v>
      </c>
      <c r="W105" s="20" t="s">
        <v>1288</v>
      </c>
    </row>
    <row r="106">
      <c r="A106" s="17">
        <v>42054.99319592592</v>
      </c>
      <c r="B106" s="13" t="s">
        <v>1289</v>
      </c>
      <c r="C106" s="13" t="s">
        <v>1265</v>
      </c>
      <c r="D106" s="13" t="s">
        <v>1266</v>
      </c>
      <c r="E106" s="13" t="s">
        <v>1267</v>
      </c>
      <c r="F106" s="13" t="s">
        <v>1290</v>
      </c>
      <c r="G106" s="13" t="s">
        <v>28</v>
      </c>
      <c r="H106" s="13" t="s">
        <v>29</v>
      </c>
      <c r="I106" s="13" t="s">
        <v>169</v>
      </c>
      <c r="J106" s="13" t="s">
        <v>1280</v>
      </c>
      <c r="K106" s="13">
        <v>1.0</v>
      </c>
      <c r="L106" s="13">
        <v>0.0</v>
      </c>
      <c r="M106" s="13">
        <v>1.0</v>
      </c>
      <c r="N106" s="13" t="s">
        <v>1291</v>
      </c>
      <c r="O106" s="13" t="s">
        <v>1292</v>
      </c>
      <c r="P106" s="13" t="s">
        <v>1293</v>
      </c>
      <c r="Q106" s="18" t="s">
        <v>1294</v>
      </c>
      <c r="R106" s="19" t="str">
        <f>HYPERLINK("https://docs.google.com/open?id=0B5-iztf28QNJU0h4NWhFb3ViWUk","Macroscopic Stability (MS) - Delgado-Aparicio - Stabilization of radiated-induced tearing modes (RiTMs) using off-axis-heating")</f>
        <v>Macroscopic Stability (MS) - Delgado-Aparicio - Stabilization of radiated-induced tearing modes (RiTMs) using off-axis-heating</v>
      </c>
      <c r="S106" s="20" t="s">
        <v>1295</v>
      </c>
      <c r="T106" s="13" t="s">
        <v>1296</v>
      </c>
      <c r="U106" s="18" t="s">
        <v>1297</v>
      </c>
      <c r="V106" s="19" t="str">
        <f>HYPERLINK("https://docs.google.com/open?id=0B5-iztf28QNJMnJaSlBkX3pnb2c","Macroscopic Stability (MS) - Delgado-Aparicio - Stabilization of radiated-induced tearing modes (RiTMs) using off-axis-heating")</f>
        <v>Macroscopic Stability (MS) - Delgado-Aparicio - Stabilization of radiated-induced tearing modes (RiTMs) using off-axis-heating</v>
      </c>
      <c r="W106" s="20" t="s">
        <v>1298</v>
      </c>
    </row>
    <row r="107">
      <c r="A107" s="17">
        <v>42057.926594745375</v>
      </c>
      <c r="B107" s="13" t="s">
        <v>1299</v>
      </c>
      <c r="C107" s="13" t="s">
        <v>1300</v>
      </c>
      <c r="D107" s="13" t="s">
        <v>1301</v>
      </c>
      <c r="E107" s="13" t="s">
        <v>1302</v>
      </c>
      <c r="F107" s="13" t="s">
        <v>1303</v>
      </c>
      <c r="G107" s="13" t="s">
        <v>270</v>
      </c>
      <c r="H107" s="13" t="s">
        <v>29</v>
      </c>
      <c r="I107" s="13" t="s">
        <v>169</v>
      </c>
      <c r="J107" s="13" t="s">
        <v>1304</v>
      </c>
      <c r="K107" s="13">
        <v>1.0</v>
      </c>
      <c r="L107" s="13">
        <v>0.0</v>
      </c>
      <c r="M107" s="13">
        <v>0.5</v>
      </c>
      <c r="N107" s="13" t="s">
        <v>1305</v>
      </c>
      <c r="O107" s="13" t="s">
        <v>1306</v>
      </c>
      <c r="P107" s="13" t="s">
        <v>1307</v>
      </c>
      <c r="Q107" s="18" t="s">
        <v>1308</v>
      </c>
      <c r="R107" s="19" t="str">
        <f>HYPERLINK("https://docs.google.com/open?id=0B5-iztf28QNJSEFIRHc3RzJOTnM","Macroscopic Stability (MS) - Wang - Study of tearing mode stability in the presence of external perturbed fields")</f>
        <v>Macroscopic Stability (MS) - Wang - Study of tearing mode stability in the presence of external perturbed fields</v>
      </c>
      <c r="S107" s="20" t="s">
        <v>1309</v>
      </c>
      <c r="T107" s="13" t="s">
        <v>1310</v>
      </c>
      <c r="U107" s="18" t="s">
        <v>1311</v>
      </c>
      <c r="V107" s="19" t="str">
        <f>HYPERLINK("https://docs.google.com/open?id=0B5-iztf28QNJUHRTM2kzbXFCenM","Macroscopic Stability (MS) - Wang - Study of tearing mode stability in the presence of external perturbed fields")</f>
        <v>Macroscopic Stability (MS) - Wang - Study of tearing mode stability in the presence of external perturbed fields</v>
      </c>
      <c r="W107" s="20" t="s">
        <v>1312</v>
      </c>
    </row>
    <row r="108">
      <c r="A108" s="17">
        <v>42057.96354303241</v>
      </c>
      <c r="B108" s="13" t="s">
        <v>1313</v>
      </c>
      <c r="C108" s="13" t="s">
        <v>1300</v>
      </c>
      <c r="D108" s="13" t="s">
        <v>1301</v>
      </c>
      <c r="E108" s="13" t="s">
        <v>1302</v>
      </c>
      <c r="F108" s="13" t="s">
        <v>1314</v>
      </c>
      <c r="G108" s="13" t="s">
        <v>270</v>
      </c>
      <c r="H108" s="13" t="s">
        <v>29</v>
      </c>
      <c r="I108" s="13" t="s">
        <v>169</v>
      </c>
      <c r="J108" s="13" t="s">
        <v>1315</v>
      </c>
      <c r="K108" s="13">
        <v>2.0</v>
      </c>
      <c r="L108" s="13">
        <v>0.0</v>
      </c>
      <c r="M108" s="13">
        <v>1.0</v>
      </c>
      <c r="N108" s="13" t="s">
        <v>1316</v>
      </c>
      <c r="O108" s="13" t="s">
        <v>1317</v>
      </c>
      <c r="P108" s="13" t="s">
        <v>1318</v>
      </c>
      <c r="Q108" s="18" t="s">
        <v>1319</v>
      </c>
      <c r="R108" s="19" t="str">
        <f>HYPERLINK("https://docs.google.com/open?id=0B5-iztf28QNJX2M0U1NUWmhIdW8","Macroscopic Stability (MS) - Wang - Direct measurement of kinetic plasma response using Nyquist Analysis")</f>
        <v>Macroscopic Stability (MS) - Wang - Direct measurement of kinetic plasma response using Nyquist Analysis</v>
      </c>
      <c r="S108" s="20" t="s">
        <v>1320</v>
      </c>
      <c r="T108" s="13" t="s">
        <v>1321</v>
      </c>
      <c r="U108" s="18" t="s">
        <v>1322</v>
      </c>
      <c r="V108" s="19" t="str">
        <f>HYPERLINK("https://docs.google.com/open?id=0B5-iztf28QNJYnBrUHpPcjF4SEE","Macroscopic Stability (MS) - Wang - Direct measurement of plasma response using Nyquist Contour")</f>
        <v>Macroscopic Stability (MS) - Wang - Direct measurement of plasma response using Nyquist Contour</v>
      </c>
      <c r="W108" s="20" t="s">
        <v>1323</v>
      </c>
    </row>
    <row r="109">
      <c r="A109" s="17">
        <v>42055.06959972222</v>
      </c>
      <c r="B109" s="13" t="s">
        <v>1324</v>
      </c>
      <c r="C109" s="13" t="s">
        <v>770</v>
      </c>
      <c r="D109" s="13" t="s">
        <v>771</v>
      </c>
      <c r="E109" s="13" t="s">
        <v>772</v>
      </c>
      <c r="F109" s="13" t="s">
        <v>1325</v>
      </c>
      <c r="G109" s="13" t="s">
        <v>28</v>
      </c>
      <c r="H109" s="13" t="s">
        <v>29</v>
      </c>
      <c r="I109" s="13" t="s">
        <v>235</v>
      </c>
      <c r="J109" s="13" t="s">
        <v>1326</v>
      </c>
      <c r="K109" s="13">
        <v>1.5</v>
      </c>
      <c r="L109" s="13">
        <v>0.0</v>
      </c>
      <c r="M109" s="13">
        <v>0.75</v>
      </c>
      <c r="N109" s="13" t="s">
        <v>1327</v>
      </c>
      <c r="O109" s="13" t="s">
        <v>1328</v>
      </c>
      <c r="P109" s="13" t="s">
        <v>1329</v>
      </c>
      <c r="Q109" s="18" t="s">
        <v>1330</v>
      </c>
      <c r="R109" s="19" t="str">
        <f>HYPERLINK("https://docs.google.com/open?id=0B5-iztf28QNJZDZwdlNhZ090RUk","Pedestal Structure and Control (PS) - Menard - Pedestal rotation shear enhancement with high-n NTV braking and 2nd NBI")</f>
        <v>Pedestal Structure and Control (PS) - Menard - Pedestal rotation shear enhancement with high-n NTV braking and 2nd NBI</v>
      </c>
      <c r="S109" s="20" t="s">
        <v>1331</v>
      </c>
      <c r="T109" s="13" t="s">
        <v>1332</v>
      </c>
      <c r="U109" s="18" t="s">
        <v>1333</v>
      </c>
      <c r="V109" s="19" t="str">
        <f>HYPERLINK("https://docs.google.com/open?id=0B5-iztf28QNJdHA0anctZFRydDA","Pedestal Structure and Control (PS) - Menard - Pedestal rotation shear enhancement with high-n NTV braking and 2nd NBI")</f>
        <v>Pedestal Structure and Control (PS) - Menard - Pedestal rotation shear enhancement with high-n NTV braking and 2nd NBI</v>
      </c>
      <c r="W109" s="20" t="s">
        <v>1334</v>
      </c>
    </row>
    <row r="110">
      <c r="A110" s="17">
        <v>42055.40239083333</v>
      </c>
      <c r="B110" s="13" t="s">
        <v>1335</v>
      </c>
      <c r="C110" s="13" t="s">
        <v>164</v>
      </c>
      <c r="D110" s="13" t="s">
        <v>320</v>
      </c>
      <c r="E110" s="13" t="s">
        <v>321</v>
      </c>
      <c r="F110" s="13" t="s">
        <v>1336</v>
      </c>
      <c r="G110" s="13" t="s">
        <v>28</v>
      </c>
      <c r="H110" s="13" t="s">
        <v>29</v>
      </c>
      <c r="I110" s="13" t="s">
        <v>592</v>
      </c>
      <c r="J110" s="13" t="s">
        <v>1337</v>
      </c>
      <c r="K110" s="13">
        <v>1.5</v>
      </c>
      <c r="L110" s="13">
        <v>1.5</v>
      </c>
      <c r="M110" s="13">
        <v>1.0</v>
      </c>
      <c r="N110" s="13" t="s">
        <v>1338</v>
      </c>
      <c r="O110" s="13" t="s">
        <v>1339</v>
      </c>
      <c r="P110" s="13" t="s">
        <v>1340</v>
      </c>
      <c r="Q110" s="18" t="s">
        <v>1341</v>
      </c>
      <c r="R110" s="19" t="str">
        <f>HYPERLINK("https://docs.google.com/open?id=0B5-iztf28QNJRHFmSzVwQVIzdDg","Particle Control Task Force (PC) - Lunsford - Multi-species particle injection for ELM pacing and impurity transport")</f>
        <v>Particle Control Task Force (PC) - Lunsford - Multi-species particle injection for ELM pacing and impurity transport</v>
      </c>
      <c r="S110" s="20" t="s">
        <v>1342</v>
      </c>
      <c r="T110" s="13" t="s">
        <v>1343</v>
      </c>
      <c r="U110" s="18" t="s">
        <v>1344</v>
      </c>
      <c r="V110" s="19" t="str">
        <f>HYPERLINK("https://docs.google.com/open?id=0B5-iztf28QNJZUpDc0Mydmw1V3M","Particle Control Task Force (PC) - Lunsford - Multi-species particle injection for ELM pacing and impurity transport")</f>
        <v>Particle Control Task Force (PC) - Lunsford - Multi-species particle injection for ELM pacing and impurity transport</v>
      </c>
      <c r="W110" s="20" t="s">
        <v>1345</v>
      </c>
    </row>
    <row r="111">
      <c r="A111" s="17">
        <v>42055.401881018515</v>
      </c>
      <c r="B111" s="13" t="s">
        <v>1346</v>
      </c>
      <c r="C111" s="13" t="s">
        <v>164</v>
      </c>
      <c r="D111" s="13" t="s">
        <v>320</v>
      </c>
      <c r="E111" s="13" t="s">
        <v>321</v>
      </c>
      <c r="F111" s="13" t="s">
        <v>1336</v>
      </c>
      <c r="G111" s="13" t="s">
        <v>28</v>
      </c>
      <c r="H111" s="13" t="s">
        <v>29</v>
      </c>
      <c r="I111" s="13" t="s">
        <v>592</v>
      </c>
      <c r="J111" s="13" t="s">
        <v>1337</v>
      </c>
      <c r="K111" s="13">
        <v>1.0</v>
      </c>
      <c r="L111" s="13">
        <v>0.0</v>
      </c>
      <c r="M111" s="13">
        <v>0.5</v>
      </c>
      <c r="N111" s="13" t="s">
        <v>1347</v>
      </c>
      <c r="O111" s="13" t="s">
        <v>1348</v>
      </c>
      <c r="P111" s="13" t="s">
        <v>1349</v>
      </c>
      <c r="Q111" s="18" t="s">
        <v>1350</v>
      </c>
      <c r="R111" s="19" t="str">
        <f>HYPERLINK("https://docs.google.com/open?id=0B5-iztf28QNJcHJyVE1tRmVtbk0","Particle Control Task Force (PC) - Lunsford - Lithium granule injection into ELM free H-modes with lithium conditioned walls ")</f>
        <v>Particle Control Task Force (PC) - Lunsford - Lithium granule injection into ELM free H-modes with lithium conditioned walls </v>
      </c>
      <c r="S111" s="20" t="s">
        <v>1351</v>
      </c>
      <c r="T111" s="13" t="s">
        <v>1352</v>
      </c>
      <c r="U111" s="18" t="s">
        <v>1353</v>
      </c>
      <c r="V111" s="19" t="str">
        <f>HYPERLINK("https://docs.google.com/open?id=0B5-iztf28QNJcjdCYkU1ektxVEE","Particle Control Task Force (PC) - Lunsford - Lithium granule injection into ELM free H-modes with lithium conditioned walls ")</f>
        <v>Particle Control Task Force (PC) - Lunsford - Lithium granule injection into ELM free H-modes with lithium conditioned walls </v>
      </c>
      <c r="W111" s="20" t="s">
        <v>1354</v>
      </c>
    </row>
    <row r="112">
      <c r="A112" s="17">
        <v>42055.387767939814</v>
      </c>
      <c r="B112" s="13" t="s">
        <v>1355</v>
      </c>
      <c r="C112" s="13" t="s">
        <v>282</v>
      </c>
      <c r="D112" s="13" t="s">
        <v>283</v>
      </c>
      <c r="E112" s="13" t="s">
        <v>284</v>
      </c>
      <c r="F112" s="13" t="s">
        <v>47</v>
      </c>
      <c r="G112" s="13" t="s">
        <v>28</v>
      </c>
      <c r="H112" s="13" t="s">
        <v>29</v>
      </c>
      <c r="I112" s="13" t="s">
        <v>492</v>
      </c>
      <c r="J112" s="13" t="s">
        <v>47</v>
      </c>
      <c r="K112" s="13">
        <v>0.5</v>
      </c>
      <c r="L112" s="13">
        <v>0.0</v>
      </c>
      <c r="M112" s="13">
        <v>0.5</v>
      </c>
      <c r="N112" s="13" t="s">
        <v>1356</v>
      </c>
      <c r="O112" s="13" t="s">
        <v>1357</v>
      </c>
      <c r="P112" s="13" t="s">
        <v>1358</v>
      </c>
      <c r="Q112" s="18" t="s">
        <v>1359</v>
      </c>
      <c r="R112" s="19" t="str">
        <f>HYPERLINK("https://docs.google.com/open?id=0B5-iztf28QNJeTVqaXBIZ1d4VEE","Energetic Particles (EP) - Podesta - Modification of TAE gap structure via rotation")</f>
        <v>Energetic Particles (EP) - Podesta - Modification of TAE gap structure via rotation</v>
      </c>
      <c r="S112" s="20" t="s">
        <v>1360</v>
      </c>
      <c r="T112" s="13" t="s">
        <v>1361</v>
      </c>
      <c r="U112" s="18" t="s">
        <v>1362</v>
      </c>
      <c r="V112" s="19" t="str">
        <f>HYPERLINK("https://docs.google.com/open?id=0B5-iztf28QNJSDFWSXdTRm1iUlk","Energetic Particles (EP) - Podesta - Modification of TAE gap structure via rotation")</f>
        <v>Energetic Particles (EP) - Podesta - Modification of TAE gap structure via rotation</v>
      </c>
      <c r="W112" s="20" t="s">
        <v>1363</v>
      </c>
    </row>
    <row r="113">
      <c r="A113" s="17">
        <v>42055.39052520833</v>
      </c>
      <c r="B113" s="13" t="s">
        <v>1364</v>
      </c>
      <c r="C113" s="13" t="s">
        <v>282</v>
      </c>
      <c r="D113" s="13" t="s">
        <v>283</v>
      </c>
      <c r="E113" s="13" t="s">
        <v>284</v>
      </c>
      <c r="F113" s="13" t="s">
        <v>47</v>
      </c>
      <c r="G113" s="13" t="s">
        <v>28</v>
      </c>
      <c r="H113" s="13" t="s">
        <v>29</v>
      </c>
      <c r="I113" s="13" t="s">
        <v>492</v>
      </c>
      <c r="J113" s="13" t="s">
        <v>47</v>
      </c>
      <c r="K113" s="13">
        <v>1.0</v>
      </c>
      <c r="L113" s="13">
        <v>0.0</v>
      </c>
      <c r="M113" s="13">
        <v>0.5</v>
      </c>
      <c r="N113" s="13" t="s">
        <v>1365</v>
      </c>
      <c r="O113" s="13" t="s">
        <v>1366</v>
      </c>
      <c r="P113" s="13" t="s">
        <v>1367</v>
      </c>
      <c r="Q113" s="18" t="s">
        <v>1368</v>
      </c>
      <c r="R113" s="19" t="str">
        <f>HYPERLINK("https://docs.google.com/open?id=0B5-iztf28QNJNUtTS3liOFVKZ3M","Energetic Particles (EP) - Podesta - TAE stability vs. NBI injection parameters")</f>
        <v>Energetic Particles (EP) - Podesta - TAE stability vs. NBI injection parameters</v>
      </c>
      <c r="S113" s="20" t="s">
        <v>1369</v>
      </c>
      <c r="T113" s="13" t="s">
        <v>1370</v>
      </c>
      <c r="U113" s="18" t="s">
        <v>1371</v>
      </c>
      <c r="V113" s="19" t="str">
        <f>HYPERLINK("https://docs.google.com/open?id=0B5-iztf28QNJV0N4WE0zTFpvdjQ","Energetic Particles (EP) - Podesta - TAE stability vs. NBI injection parameters")</f>
        <v>Energetic Particles (EP) - Podesta - TAE stability vs. NBI injection parameters</v>
      </c>
      <c r="W113" s="20" t="s">
        <v>1372</v>
      </c>
    </row>
    <row r="114">
      <c r="A114" s="17">
        <v>42055.39505180556</v>
      </c>
      <c r="B114" s="13" t="s">
        <v>1373</v>
      </c>
      <c r="C114" s="13" t="s">
        <v>282</v>
      </c>
      <c r="D114" s="13" t="s">
        <v>283</v>
      </c>
      <c r="E114" s="13" t="s">
        <v>284</v>
      </c>
      <c r="F114" s="13" t="s">
        <v>47</v>
      </c>
      <c r="G114" s="13" t="s">
        <v>28</v>
      </c>
      <c r="H114" s="13" t="s">
        <v>29</v>
      </c>
      <c r="I114" s="13" t="s">
        <v>492</v>
      </c>
      <c r="J114" s="13" t="s">
        <v>1374</v>
      </c>
      <c r="K114" s="13">
        <v>1.0</v>
      </c>
      <c r="L114" s="13">
        <v>0.0</v>
      </c>
      <c r="M114" s="13">
        <v>1.0</v>
      </c>
      <c r="N114" s="13" t="s">
        <v>1375</v>
      </c>
      <c r="O114" s="13" t="s">
        <v>1376</v>
      </c>
      <c r="P114" s="13" t="s">
        <v>1377</v>
      </c>
      <c r="Q114" s="18" t="s">
        <v>1378</v>
      </c>
      <c r="R114" s="19" t="str">
        <f>HYPERLINK("https://docs.google.com/open?id=0B5-iztf28QNJRjU5NVp6dm1BbkU","Energetic Particles (EP) - Podesta - Modification of fast ion distribution by RF")</f>
        <v>Energetic Particles (EP) - Podesta - Modification of fast ion distribution by RF</v>
      </c>
      <c r="S114" s="20" t="s">
        <v>1379</v>
      </c>
      <c r="T114" s="13" t="s">
        <v>1380</v>
      </c>
      <c r="U114" s="18" t="s">
        <v>1381</v>
      </c>
      <c r="V114" s="19" t="str">
        <f>HYPERLINK("https://docs.google.com/open?id=0B5-iztf28QNJczZ3V09zRjZWMzA","Energetic Particles (EP) - Podesta - Modification of fast ion distribution by RF")</f>
        <v>Energetic Particles (EP) - Podesta - Modification of fast ion distribution by RF</v>
      </c>
      <c r="W114" s="20" t="s">
        <v>1382</v>
      </c>
    </row>
    <row r="115">
      <c r="A115" s="17">
        <v>42055.408987916664</v>
      </c>
      <c r="B115" s="13" t="s">
        <v>1383</v>
      </c>
      <c r="C115" s="13" t="s">
        <v>282</v>
      </c>
      <c r="D115" s="13" t="s">
        <v>283</v>
      </c>
      <c r="E115" s="13" t="s">
        <v>284</v>
      </c>
      <c r="F115" s="13" t="s">
        <v>1384</v>
      </c>
      <c r="G115" s="13" t="s">
        <v>28</v>
      </c>
      <c r="H115" s="13" t="s">
        <v>29</v>
      </c>
      <c r="I115" s="13" t="s">
        <v>492</v>
      </c>
      <c r="J115" s="13" t="s">
        <v>1385</v>
      </c>
      <c r="K115" s="13">
        <v>2.0</v>
      </c>
      <c r="L115" s="13">
        <v>0.0</v>
      </c>
      <c r="M115" s="13">
        <v>2.0</v>
      </c>
      <c r="N115" s="13" t="s">
        <v>1386</v>
      </c>
      <c r="O115" s="13" t="s">
        <v>1387</v>
      </c>
      <c r="P115" s="13" t="s">
        <v>1388</v>
      </c>
      <c r="Q115" s="18" t="s">
        <v>1389</v>
      </c>
      <c r="R115" s="19" t="str">
        <f>HYPERLINK("https://docs.google.com/open?id=0B5-iztf28QNJM0hLaGFVMUg5NTA","Energetic Particles (EP) - Podesta - Characterization of 2nd NBI line")</f>
        <v>Energetic Particles (EP) - Podesta - Characterization of 2nd NBI line</v>
      </c>
      <c r="S115" s="20" t="s">
        <v>1390</v>
      </c>
      <c r="T115" s="13" t="s">
        <v>1391</v>
      </c>
      <c r="U115" s="18" t="s">
        <v>1392</v>
      </c>
      <c r="V115" s="19" t="str">
        <f>HYPERLINK("https://docs.google.com/open?id=0B5-iztf28QNJTGxLcEZWcHV0SDg","Energetic Particles (EP) - Podesta - Characterization of 2nd NBI line")</f>
        <v>Energetic Particles (EP) - Podesta - Characterization of 2nd NBI line</v>
      </c>
      <c r="W115" s="20" t="s">
        <v>1393</v>
      </c>
    </row>
    <row r="116">
      <c r="A116" s="17">
        <v>42055.41193278936</v>
      </c>
      <c r="B116" s="13" t="s">
        <v>1394</v>
      </c>
      <c r="C116" s="13" t="s">
        <v>1395</v>
      </c>
      <c r="D116" s="13" t="s">
        <v>1396</v>
      </c>
      <c r="E116" s="13" t="s">
        <v>1397</v>
      </c>
      <c r="F116" s="13" t="s">
        <v>1398</v>
      </c>
      <c r="G116" s="13" t="s">
        <v>270</v>
      </c>
      <c r="H116" s="13" t="s">
        <v>271</v>
      </c>
      <c r="I116" s="13" t="s">
        <v>492</v>
      </c>
      <c r="J116" s="13" t="s">
        <v>1399</v>
      </c>
      <c r="K116" s="13">
        <v>1.0</v>
      </c>
      <c r="L116" s="13">
        <v>0.0</v>
      </c>
      <c r="M116" s="13">
        <v>0.5</v>
      </c>
      <c r="N116" s="13" t="s">
        <v>1400</v>
      </c>
      <c r="O116" s="13" t="s">
        <v>1401</v>
      </c>
      <c r="P116" s="13" t="s">
        <v>1402</v>
      </c>
      <c r="Q116" s="18" t="s">
        <v>1403</v>
      </c>
      <c r="R116" s="19" t="str">
        <f>HYPERLINK("https://docs.google.com/open?id=0B5-iztf28QNJLWdOVkxqMDVlWmM","Energetic Particles (EP) - Hao - Effect of low frequency MHD mode on the fast ions redistribution")</f>
        <v>Energetic Particles (EP) - Hao - Effect of low frequency MHD mode on the fast ions redistribution</v>
      </c>
      <c r="S116" s="20" t="s">
        <v>1404</v>
      </c>
      <c r="T116" s="13" t="s">
        <v>1405</v>
      </c>
      <c r="U116" s="18" t="s">
        <v>1406</v>
      </c>
      <c r="V116" s="19" t="str">
        <f>HYPERLINK("https://docs.google.com/open?id=0B5-iztf28QNJOXd2UVlHbWtHVzA","Energetic Particles (EP) - Hao - Effect of low frequency MHD mode on the fast ions redistribution")</f>
        <v>Energetic Particles (EP) - Hao - Effect of low frequency MHD mode on the fast ions redistribution</v>
      </c>
      <c r="W116" s="20" t="s">
        <v>1407</v>
      </c>
    </row>
    <row r="117">
      <c r="A117" s="17">
        <v>42055.43662145833</v>
      </c>
      <c r="B117" s="13" t="s">
        <v>1408</v>
      </c>
      <c r="C117" s="13" t="s">
        <v>1409</v>
      </c>
      <c r="D117" s="13" t="s">
        <v>1410</v>
      </c>
      <c r="E117" s="13" t="s">
        <v>1411</v>
      </c>
      <c r="F117" s="13" t="s">
        <v>1412</v>
      </c>
      <c r="G117" s="13" t="s">
        <v>28</v>
      </c>
      <c r="H117" s="13" t="s">
        <v>954</v>
      </c>
      <c r="I117" s="13" t="s">
        <v>235</v>
      </c>
      <c r="J117" s="13" t="s">
        <v>1413</v>
      </c>
      <c r="K117" s="13">
        <v>2.0</v>
      </c>
      <c r="L117" s="13">
        <v>0.0</v>
      </c>
      <c r="M117" s="13">
        <v>1.0</v>
      </c>
      <c r="N117" s="13" t="s">
        <v>1414</v>
      </c>
      <c r="O117" s="13" t="s">
        <v>1415</v>
      </c>
      <c r="P117" s="13" t="s">
        <v>1416</v>
      </c>
      <c r="Q117" s="18" t="s">
        <v>1417</v>
      </c>
      <c r="R117" s="19" t="str">
        <f>HYPERLINK("https://docs.google.com/open?id=0B5-iztf28QNJY0x2NWhPZVgzalE","Pedestal Structure and Control (PS) - Hubbard - Exploration of I-mode regime on NSTX")</f>
        <v>Pedestal Structure and Control (PS) - Hubbard - Exploration of I-mode regime on NSTX</v>
      </c>
      <c r="S117" s="20" t="s">
        <v>1418</v>
      </c>
      <c r="T117" s="13" t="s">
        <v>1419</v>
      </c>
      <c r="U117" s="18" t="s">
        <v>1420</v>
      </c>
      <c r="V117" s="19" t="str">
        <f>HYPERLINK("https://docs.google.com/open?id=0B5-iztf28QNJeGd6TTNHSmFXV2c","Pedestal Structure and Control (PS) - Hubbard - Exploration of I-mode regime on NSTX")</f>
        <v>Pedestal Structure and Control (PS) - Hubbard - Exploration of I-mode regime on NSTX</v>
      </c>
      <c r="W117" s="20" t="s">
        <v>1421</v>
      </c>
    </row>
    <row r="118">
      <c r="A118" s="17">
        <v>42055.441257962964</v>
      </c>
      <c r="B118" s="13" t="s">
        <v>1422</v>
      </c>
      <c r="C118" s="13" t="s">
        <v>1423</v>
      </c>
      <c r="D118" s="13" t="s">
        <v>1424</v>
      </c>
      <c r="E118" s="13" t="s">
        <v>1425</v>
      </c>
      <c r="F118" s="13" t="s">
        <v>1426</v>
      </c>
      <c r="G118" s="13" t="s">
        <v>28</v>
      </c>
      <c r="H118" s="13" t="s">
        <v>1427</v>
      </c>
      <c r="I118" s="13" t="s">
        <v>663</v>
      </c>
      <c r="J118" s="13" t="s">
        <v>1428</v>
      </c>
      <c r="K118" s="13">
        <v>1.0</v>
      </c>
      <c r="L118" s="13">
        <v>0.0</v>
      </c>
      <c r="M118" s="13">
        <v>0.5</v>
      </c>
      <c r="N118" s="13" t="s">
        <v>1429</v>
      </c>
      <c r="O118" s="13" t="s">
        <v>1430</v>
      </c>
      <c r="P118" s="13" t="s">
        <v>1431</v>
      </c>
      <c r="Q118" s="18" t="s">
        <v>1432</v>
      </c>
      <c r="R118" s="19" t="str">
        <f>HYPERLINK("https://docs.google.com/open?id=0B5-iztf28QNJcUpEaU14V1hPYjQ","Turbulence and Transport (TT) - Smith - 2D observations of GAM and zero-frequency zonal flows")</f>
        <v>Turbulence and Transport (TT) - Smith - 2D observations of GAM and zero-frequency zonal flows</v>
      </c>
      <c r="S118" s="20" t="s">
        <v>1433</v>
      </c>
      <c r="T118" s="13" t="s">
        <v>1434</v>
      </c>
      <c r="U118" s="18" t="s">
        <v>1435</v>
      </c>
      <c r="V118" s="19" t="str">
        <f>HYPERLINK("https://docs.google.com/open?id=0B5-iztf28QNJX3EwcWRyNjQySk0","Turbulence and Transport (TT) - Smith - 2D observations of GAM and zero-frequency zonal flows")</f>
        <v>Turbulence and Transport (TT) - Smith - 2D observations of GAM and zero-frequency zonal flows</v>
      </c>
      <c r="W118" s="20" t="s">
        <v>1436</v>
      </c>
    </row>
    <row r="119">
      <c r="A119" s="17">
        <v>42055.44057989583</v>
      </c>
      <c r="B119" s="13" t="s">
        <v>1437</v>
      </c>
      <c r="C119" s="13" t="s">
        <v>1423</v>
      </c>
      <c r="D119" s="13" t="s">
        <v>1424</v>
      </c>
      <c r="E119" s="13" t="s">
        <v>1425</v>
      </c>
      <c r="F119" s="13" t="s">
        <v>1438</v>
      </c>
      <c r="G119" s="13" t="s">
        <v>28</v>
      </c>
      <c r="H119" s="13" t="s">
        <v>1427</v>
      </c>
      <c r="I119" s="13" t="s">
        <v>235</v>
      </c>
      <c r="J119" s="13" t="s">
        <v>1439</v>
      </c>
      <c r="K119" s="13">
        <v>1.0</v>
      </c>
      <c r="L119" s="13">
        <v>1.0</v>
      </c>
      <c r="M119" s="13">
        <v>0.5</v>
      </c>
      <c r="N119" s="13" t="s">
        <v>1440</v>
      </c>
      <c r="O119" s="13" t="s">
        <v>1430</v>
      </c>
      <c r="P119" s="13" t="s">
        <v>1441</v>
      </c>
      <c r="Q119" s="18" t="s">
        <v>1442</v>
      </c>
      <c r="R119" s="19" t="str">
        <f>HYPERLINK("https://docs.google.com/open?id=0B5-iztf28QNJcWs3MUpaY1hoNEk","Pedestal Structure and Control (PS) - Smith - Investigations of nonlinear ELM dynamics")</f>
        <v>Pedestal Structure and Control (PS) - Smith - Investigations of nonlinear ELM dynamics</v>
      </c>
      <c r="S119" s="20" t="s">
        <v>1443</v>
      </c>
      <c r="T119" s="13" t="s">
        <v>1444</v>
      </c>
      <c r="U119" s="18" t="s">
        <v>1445</v>
      </c>
      <c r="V119" s="19" t="str">
        <f>HYPERLINK("https://docs.google.com/open?id=0B5-iztf28QNJWmZGNUtpTnBTd2c","Pedestal Structure and Control (PS) - Smith - Investigations of nonlinear ELM dynamics")</f>
        <v>Pedestal Structure and Control (PS) - Smith - Investigations of nonlinear ELM dynamics</v>
      </c>
      <c r="W119" s="20" t="s">
        <v>1446</v>
      </c>
    </row>
    <row r="120">
      <c r="A120" s="17">
        <v>42055.44288736111</v>
      </c>
      <c r="B120" s="13" t="s">
        <v>1447</v>
      </c>
      <c r="C120" s="13" t="s">
        <v>1423</v>
      </c>
      <c r="D120" s="13" t="s">
        <v>1424</v>
      </c>
      <c r="E120" s="13" t="s">
        <v>1425</v>
      </c>
      <c r="F120" s="13" t="s">
        <v>1426</v>
      </c>
      <c r="G120" s="13" t="s">
        <v>28</v>
      </c>
      <c r="H120" s="13" t="s">
        <v>1427</v>
      </c>
      <c r="I120" s="13" t="s">
        <v>819</v>
      </c>
      <c r="J120" s="13" t="s">
        <v>1448</v>
      </c>
      <c r="K120" s="13">
        <v>0.5</v>
      </c>
      <c r="L120" s="13">
        <v>0.0</v>
      </c>
      <c r="M120" s="13">
        <v>0.5</v>
      </c>
      <c r="N120" s="13" t="s">
        <v>1449</v>
      </c>
      <c r="O120" s="13" t="s">
        <v>1450</v>
      </c>
      <c r="P120" s="13" t="s">
        <v>1451</v>
      </c>
      <c r="Q120" s="18" t="s">
        <v>1452</v>
      </c>
      <c r="R120" s="19" t="str">
        <f>HYPERLINK("https://docs.google.com/open?id=0B5-iztf28QNJZ3Y3U0lQZ21tOUk","Wave Heating and Current Drive (RF) - Smith - Using 2D BES measurements to resolve the in-situ HHFW wavefield")</f>
        <v>Wave Heating and Current Drive (RF) - Smith - Using 2D BES measurements to resolve the in-situ HHFW wavefield</v>
      </c>
      <c r="S120" s="20" t="s">
        <v>1453</v>
      </c>
      <c r="T120" s="13" t="s">
        <v>1454</v>
      </c>
      <c r="U120" s="18" t="s">
        <v>1455</v>
      </c>
      <c r="V120" s="19" t="str">
        <f>HYPERLINK("https://docs.google.com/open?id=0B5-iztf28QNJRVJ0MXZCeW5OVGs","Wave Heating and Current Drive (RF) - Smith - Using 2D BES measurements to resolve the in-situ HHFW wavefield")</f>
        <v>Wave Heating and Current Drive (RF) - Smith - Using 2D BES measurements to resolve the in-situ HHFW wavefield</v>
      </c>
      <c r="W120" s="20" t="s">
        <v>1456</v>
      </c>
    </row>
    <row r="121">
      <c r="A121" s="17">
        <v>42055.44480510416</v>
      </c>
      <c r="B121" s="13" t="s">
        <v>1457</v>
      </c>
      <c r="C121" s="13" t="s">
        <v>1423</v>
      </c>
      <c r="D121" s="13" t="s">
        <v>1424</v>
      </c>
      <c r="E121" s="13" t="s">
        <v>1425</v>
      </c>
      <c r="F121" s="13" t="s">
        <v>1458</v>
      </c>
      <c r="G121" s="13" t="s">
        <v>28</v>
      </c>
      <c r="H121" s="13" t="s">
        <v>1427</v>
      </c>
      <c r="I121" s="13" t="s">
        <v>663</v>
      </c>
      <c r="J121" s="13" t="s">
        <v>1459</v>
      </c>
      <c r="K121" s="13">
        <v>1.0</v>
      </c>
      <c r="L121" s="13">
        <v>0.0</v>
      </c>
      <c r="M121" s="13">
        <v>0.5</v>
      </c>
      <c r="N121" s="13" t="s">
        <v>1460</v>
      </c>
      <c r="O121" s="13" t="s">
        <v>1430</v>
      </c>
      <c r="P121" s="13" t="s">
        <v>1461</v>
      </c>
      <c r="Q121" s="18" t="s">
        <v>1462</v>
      </c>
      <c r="R121" s="19" t="str">
        <f>HYPERLINK("https://docs.google.com/open?id=0B5-iztf28QNJRjBXVFdsajVKQUU","Turbulence and Transport (TT) - Smith - Dependence of low-k turbulence properties on rho* in the ST")</f>
        <v>Turbulence and Transport (TT) - Smith - Dependence of low-k turbulence properties on rho* in the ST</v>
      </c>
      <c r="S121" s="20" t="s">
        <v>1463</v>
      </c>
      <c r="T121" s="13" t="s">
        <v>1464</v>
      </c>
      <c r="U121" s="18" t="s">
        <v>1465</v>
      </c>
      <c r="V121" s="19" t="str">
        <f>HYPERLINK("https://docs.google.com/open?id=0B5-iztf28QNJUFJETGozYk5GWjg","Turbulence and Transport (TT) - Smith - Dependence of low-k turbulence properties on rho* in the ST")</f>
        <v>Turbulence and Transport (TT) - Smith - Dependence of low-k turbulence properties on rho* in the ST</v>
      </c>
      <c r="W121" s="20" t="s">
        <v>1466</v>
      </c>
    </row>
    <row r="122">
      <c r="A122" s="17">
        <v>42055.49042909722</v>
      </c>
      <c r="B122" s="13" t="s">
        <v>1467</v>
      </c>
      <c r="C122" s="13" t="s">
        <v>1468</v>
      </c>
      <c r="D122" s="13" t="s">
        <v>1469</v>
      </c>
      <c r="E122" s="13" t="s">
        <v>1470</v>
      </c>
      <c r="F122" s="13" t="s">
        <v>1471</v>
      </c>
      <c r="G122" s="13" t="s">
        <v>28</v>
      </c>
      <c r="H122" s="13" t="s">
        <v>29</v>
      </c>
      <c r="I122" s="13" t="s">
        <v>663</v>
      </c>
      <c r="J122" s="13" t="s">
        <v>1472</v>
      </c>
      <c r="K122" s="13">
        <v>1.0</v>
      </c>
      <c r="L122" s="13">
        <v>0.0</v>
      </c>
      <c r="M122" s="13">
        <v>0.5</v>
      </c>
      <c r="N122" s="13" t="s">
        <v>1473</v>
      </c>
      <c r="O122" s="13" t="s">
        <v>1474</v>
      </c>
      <c r="P122" s="13" t="s">
        <v>1475</v>
      </c>
      <c r="Q122" s="18" t="s">
        <v>1476</v>
      </c>
      <c r="R122" s="19" t="str">
        <f>HYPERLINK("https://docs.google.com/open?id=0B5-iztf28QNJLXRaSmk5NE8wSzg","Turbulence and Transport (TT) - Guttenfelder - Perturbative momentum transport in NSTX-U L and H modes")</f>
        <v>Turbulence and Transport (TT) - Guttenfelder - Perturbative momentum transport in NSTX-U L and H modes</v>
      </c>
      <c r="S122" s="20" t="s">
        <v>1477</v>
      </c>
      <c r="T122" s="13" t="s">
        <v>1478</v>
      </c>
      <c r="U122" s="18" t="s">
        <v>1479</v>
      </c>
      <c r="V122" s="19" t="str">
        <f>HYPERLINK("https://docs.google.com/open?id=0B5-iztf28QNJSWY1OEkxTTd4X2c","Turbulence and Transport (TT) - Guttenfelder - Perturbative momentum transport in NSTX-U L and H modes")</f>
        <v>Turbulence and Transport (TT) - Guttenfelder - Perturbative momentum transport in NSTX-U L and H modes</v>
      </c>
      <c r="W122" s="20" t="s">
        <v>1480</v>
      </c>
    </row>
    <row r="123">
      <c r="A123" s="17">
        <v>42055.463704201386</v>
      </c>
      <c r="B123" s="13" t="s">
        <v>1481</v>
      </c>
      <c r="C123" s="13" t="s">
        <v>1482</v>
      </c>
      <c r="D123" s="13" t="s">
        <v>1483</v>
      </c>
      <c r="E123" s="13" t="s">
        <v>1484</v>
      </c>
      <c r="F123" s="13" t="s">
        <v>1485</v>
      </c>
      <c r="G123" s="13" t="s">
        <v>28</v>
      </c>
      <c r="H123" s="13" t="s">
        <v>430</v>
      </c>
      <c r="I123" s="13" t="s">
        <v>580</v>
      </c>
      <c r="J123" s="13" t="s">
        <v>1486</v>
      </c>
      <c r="K123" s="13">
        <v>1.0</v>
      </c>
      <c r="L123" s="13">
        <v>1.0</v>
      </c>
      <c r="M123" s="13">
        <v>0.5</v>
      </c>
      <c r="N123" s="13" t="s">
        <v>1487</v>
      </c>
      <c r="O123" s="13" t="s">
        <v>47</v>
      </c>
      <c r="P123" s="13" t="s">
        <v>1488</v>
      </c>
      <c r="Q123" s="18" t="s">
        <v>1489</v>
      </c>
      <c r="R123" s="19" t="str">
        <f>HYPERLINK("https://docs.google.com/open?id=0B5-iztf28QNJTjJ6VzVtcld1VVE","Divertor and Scrape-off-layer (DS) - Lore - Toroidal divertor flux deposition asymmetries due to localized gas injection")</f>
        <v>Divertor and Scrape-off-layer (DS) - Lore - Toroidal divertor flux deposition asymmetries due to localized gas injection</v>
      </c>
      <c r="S123" s="20" t="s">
        <v>1490</v>
      </c>
      <c r="T123" s="13" t="s">
        <v>1491</v>
      </c>
      <c r="U123" s="18" t="s">
        <v>1492</v>
      </c>
      <c r="V123" s="19" t="str">
        <f>HYPERLINK("https://docs.google.com/open?id=0B5-iztf28QNJdzJwRjhORkdpMm8","Divertor and Scrape-off-layer (DS) - Lore - Toroidal divertor flux deposition asymmetries due to localized gas injection")</f>
        <v>Divertor and Scrape-off-layer (DS) - Lore - Toroidal divertor flux deposition asymmetries due to localized gas injection</v>
      </c>
      <c r="W123" s="20" t="s">
        <v>1493</v>
      </c>
    </row>
    <row r="124">
      <c r="A124" s="17">
        <v>42055.464479675924</v>
      </c>
      <c r="B124" s="13" t="s">
        <v>1494</v>
      </c>
      <c r="C124" s="13" t="s">
        <v>1482</v>
      </c>
      <c r="D124" s="13" t="s">
        <v>1483</v>
      </c>
      <c r="E124" s="13" t="s">
        <v>1484</v>
      </c>
      <c r="F124" s="13" t="s">
        <v>1495</v>
      </c>
      <c r="G124" s="13" t="s">
        <v>28</v>
      </c>
      <c r="H124" s="13" t="s">
        <v>430</v>
      </c>
      <c r="I124" s="13" t="s">
        <v>592</v>
      </c>
      <c r="J124" s="13" t="s">
        <v>1496</v>
      </c>
      <c r="K124" s="13">
        <v>1.0</v>
      </c>
      <c r="L124" s="13">
        <v>1.0</v>
      </c>
      <c r="M124" s="13">
        <v>0.5</v>
      </c>
      <c r="N124" s="13" t="s">
        <v>1497</v>
      </c>
      <c r="O124" s="13" t="s">
        <v>1498</v>
      </c>
      <c r="P124" s="13" t="s">
        <v>1499</v>
      </c>
      <c r="Q124" s="18" t="s">
        <v>1500</v>
      </c>
      <c r="R124" s="19" t="str">
        <f>HYPERLINK("https://docs.google.com/open?id=0B5-iztf28QNJdW1OS0J3NzdrdFE","Particle Control Task Force (PC) - Lore - ELM pacing with 3D fields in boronization operational phase for main ion control")</f>
        <v>Particle Control Task Force (PC) - Lore - ELM pacing with 3D fields in boronization operational phase for main ion control</v>
      </c>
      <c r="S124" s="20" t="s">
        <v>1501</v>
      </c>
      <c r="T124" s="13" t="s">
        <v>1502</v>
      </c>
      <c r="U124" s="18" t="s">
        <v>1503</v>
      </c>
      <c r="V124" s="19" t="str">
        <f>HYPERLINK("https://docs.google.com/open?id=0B5-iztf28QNJQXNmUE5hRUtqSzg","Particle Control Task Force (PC) - Lore - ELM pacing with 3D fields in boronization operational phase for main ion control")</f>
        <v>Particle Control Task Force (PC) - Lore - ELM pacing with 3D fields in boronization operational phase for main ion control</v>
      </c>
      <c r="W124" s="20" t="s">
        <v>1504</v>
      </c>
    </row>
    <row r="125">
      <c r="A125" s="17">
        <v>42055.469647488426</v>
      </c>
      <c r="B125" s="13" t="s">
        <v>1505</v>
      </c>
      <c r="C125" s="13" t="s">
        <v>1482</v>
      </c>
      <c r="D125" s="13" t="s">
        <v>1483</v>
      </c>
      <c r="E125" s="13" t="s">
        <v>1484</v>
      </c>
      <c r="F125" s="13" t="s">
        <v>1495</v>
      </c>
      <c r="G125" s="13" t="s">
        <v>28</v>
      </c>
      <c r="H125" s="13" t="s">
        <v>430</v>
      </c>
      <c r="I125" s="13" t="s">
        <v>592</v>
      </c>
      <c r="J125" s="13" t="s">
        <v>1496</v>
      </c>
      <c r="K125" s="13">
        <v>1.0</v>
      </c>
      <c r="L125" s="13">
        <v>0.0</v>
      </c>
      <c r="M125" s="13">
        <v>1.0</v>
      </c>
      <c r="N125" s="13" t="s">
        <v>1506</v>
      </c>
      <c r="O125" s="13" t="s">
        <v>47</v>
      </c>
      <c r="P125" s="13" t="s">
        <v>1507</v>
      </c>
      <c r="Q125" s="18" t="s">
        <v>1508</v>
      </c>
      <c r="R125" s="19" t="str">
        <f>HYPERLINK("https://docs.google.com/open?id=0B5-iztf28QNJV0swTW50bEkyWmc","Particle Control Task Force (PC) - Lore - Combining ELM pacing with divertor gas injection for impurity control")</f>
        <v>Particle Control Task Force (PC) - Lore - Combining ELM pacing with divertor gas injection for impurity control</v>
      </c>
      <c r="S125" s="20" t="s">
        <v>1509</v>
      </c>
      <c r="T125" s="13" t="s">
        <v>1510</v>
      </c>
      <c r="U125" s="18" t="s">
        <v>1511</v>
      </c>
      <c r="V125" s="19" t="str">
        <f>HYPERLINK("https://docs.google.com/open?id=0B5-iztf28QNJc1RyRTI4S0dBNTg","Particle Control Task Force (PC) - Lore - Combining ELM pacing with divertor gas injection for impurity control")</f>
        <v>Particle Control Task Force (PC) - Lore - Combining ELM pacing with divertor gas injection for impurity control</v>
      </c>
      <c r="W125" s="20" t="s">
        <v>1512</v>
      </c>
    </row>
    <row r="126">
      <c r="A126" s="17">
        <v>42055.46976625</v>
      </c>
      <c r="B126" s="13" t="s">
        <v>1513</v>
      </c>
      <c r="C126" s="13" t="s">
        <v>1423</v>
      </c>
      <c r="D126" s="13" t="s">
        <v>1424</v>
      </c>
      <c r="E126" s="13" t="s">
        <v>1425</v>
      </c>
      <c r="F126" s="13" t="s">
        <v>1514</v>
      </c>
      <c r="G126" s="13" t="s">
        <v>28</v>
      </c>
      <c r="H126" s="13" t="s">
        <v>1427</v>
      </c>
      <c r="I126" s="13" t="s">
        <v>235</v>
      </c>
      <c r="J126" s="13" t="s">
        <v>1515</v>
      </c>
      <c r="K126" s="13">
        <v>0.5</v>
      </c>
      <c r="L126" s="13">
        <v>0.0</v>
      </c>
      <c r="M126" s="13">
        <v>0.5</v>
      </c>
      <c r="N126" s="13" t="s">
        <v>1516</v>
      </c>
      <c r="O126" s="13" t="s">
        <v>1517</v>
      </c>
      <c r="P126" s="13" t="s">
        <v>1518</v>
      </c>
      <c r="Q126" s="18" t="s">
        <v>1519</v>
      </c>
      <c r="R126" s="19" t="str">
        <f>HYPERLINK("https://docs.google.com/open?id=0B5-iztf28QNJQmp0bjZZX3JfWjQ","Pedestal Structure and Control (PS) - Smith - Can SOL heating from HHFW improve pedestal stability?")</f>
        <v>Pedestal Structure and Control (PS) - Smith - Can SOL heating from HHFW improve pedestal stability?</v>
      </c>
      <c r="S126" s="20" t="s">
        <v>1520</v>
      </c>
      <c r="T126" s="13" t="s">
        <v>1521</v>
      </c>
      <c r="U126" s="18" t="s">
        <v>1522</v>
      </c>
      <c r="V126" s="19" t="str">
        <f>HYPERLINK("https://docs.google.com/open?id=0B5-iztf28QNJWDVmTHJ3U1pLbDg","Pedestal Structure and Control (PS) - Smith - Can SOL heating from HHFW improve pedestal stability?")</f>
        <v>Pedestal Structure and Control (PS) - Smith - Can SOL heating from HHFW improve pedestal stability?</v>
      </c>
      <c r="W126" s="20" t="s">
        <v>1523</v>
      </c>
    </row>
    <row r="127">
      <c r="A127" s="17">
        <v>42055.47027939815</v>
      </c>
      <c r="B127" s="13" t="s">
        <v>1524</v>
      </c>
      <c r="C127" s="13" t="s">
        <v>1482</v>
      </c>
      <c r="D127" s="13" t="s">
        <v>1483</v>
      </c>
      <c r="E127" s="13" t="s">
        <v>1484</v>
      </c>
      <c r="F127" s="13" t="s">
        <v>1525</v>
      </c>
      <c r="G127" s="13" t="s">
        <v>28</v>
      </c>
      <c r="H127" s="13" t="s">
        <v>430</v>
      </c>
      <c r="I127" s="13" t="s">
        <v>235</v>
      </c>
      <c r="J127" s="13" t="s">
        <v>1526</v>
      </c>
      <c r="K127" s="13">
        <v>1.0</v>
      </c>
      <c r="L127" s="13">
        <v>1.0</v>
      </c>
      <c r="M127" s="13">
        <v>0.5</v>
      </c>
      <c r="N127" s="13" t="s">
        <v>1527</v>
      </c>
      <c r="O127" s="13" t="s">
        <v>1528</v>
      </c>
      <c r="P127" s="13" t="s">
        <v>1529</v>
      </c>
      <c r="Q127" s="18" t="s">
        <v>1530</v>
      </c>
      <c r="R127" s="19" t="str">
        <f>HYPERLINK("https://docs.google.com/open?id=0B5-iztf28QNJZHhQXzJqQThqWTA","Pedestal Structure and Control (PS) - Lore - Resonant ELM frequency behavior as a function of q95 with 3D fields")</f>
        <v>Pedestal Structure and Control (PS) - Lore - Resonant ELM frequency behavior as a function of q95 with 3D fields</v>
      </c>
      <c r="S127" s="20" t="s">
        <v>1531</v>
      </c>
      <c r="T127" s="13" t="s">
        <v>1532</v>
      </c>
      <c r="U127" s="18" t="s">
        <v>1533</v>
      </c>
      <c r="V127" s="19" t="str">
        <f>HYPERLINK("https://docs.google.com/open?id=0B5-iztf28QNJVUlZRW1CUDhMMmc","Pedestal Structure and Control (PS) - Lore - Resonant ELM frequency behavior as a function of q95 with 3D fields")</f>
        <v>Pedestal Structure and Control (PS) - Lore - Resonant ELM frequency behavior as a function of q95 with 3D fields</v>
      </c>
      <c r="W127" s="20" t="s">
        <v>1534</v>
      </c>
    </row>
    <row r="128">
      <c r="A128" s="17">
        <v>42055.495328310186</v>
      </c>
      <c r="B128" s="13" t="s">
        <v>1535</v>
      </c>
      <c r="C128" s="13" t="s">
        <v>1536</v>
      </c>
      <c r="D128" s="13" t="s">
        <v>1537</v>
      </c>
      <c r="E128" s="13" t="s">
        <v>1538</v>
      </c>
      <c r="F128" s="13" t="s">
        <v>1539</v>
      </c>
      <c r="G128" s="13" t="s">
        <v>1540</v>
      </c>
      <c r="H128" s="13" t="s">
        <v>1541</v>
      </c>
      <c r="I128" s="13" t="s">
        <v>60</v>
      </c>
      <c r="J128" s="13" t="s">
        <v>1542</v>
      </c>
      <c r="K128" s="13">
        <v>4.0</v>
      </c>
      <c r="L128" s="13">
        <v>0.0</v>
      </c>
      <c r="M128" s="13">
        <v>0.5</v>
      </c>
      <c r="N128" s="13" t="s">
        <v>1543</v>
      </c>
      <c r="O128" s="13" t="s">
        <v>1544</v>
      </c>
      <c r="P128" s="13" t="s">
        <v>1545</v>
      </c>
      <c r="Q128" s="18" t="s">
        <v>1546</v>
      </c>
      <c r="R128" s="19" t="str">
        <f>HYPERLINK("https://docs.google.com/open?id=0B5-iztf28QNJd0F6UTU5RzhKWXc","Advanced Scenarios and Control (ASC) - Snipes - Actuator Sharing and Integrated Control Demonstration for ITER")</f>
        <v>Advanced Scenarios and Control (ASC) - Snipes - Actuator Sharing and Integrated Control Demonstration for ITER</v>
      </c>
      <c r="S128" s="20" t="s">
        <v>1547</v>
      </c>
      <c r="T128" s="13" t="s">
        <v>1548</v>
      </c>
      <c r="U128" s="18" t="s">
        <v>1549</v>
      </c>
      <c r="V128" s="19" t="str">
        <f>HYPERLINK("https://docs.google.com/open?id=0B5-iztf28QNJWWhobm00aG1NMVE","Advanced Scenarios and Control (ASC) - Snipes - Actuator Sharing and Integrated Control Demonstration for ITER")</f>
        <v>Advanced Scenarios and Control (ASC) - Snipes - Actuator Sharing and Integrated Control Demonstration for ITER</v>
      </c>
      <c r="W128" s="20" t="s">
        <v>1550</v>
      </c>
    </row>
    <row r="129">
      <c r="A129" s="17">
        <v>42057.583909768524</v>
      </c>
      <c r="B129" s="13" t="s">
        <v>1551</v>
      </c>
      <c r="C129" s="13" t="s">
        <v>1552</v>
      </c>
      <c r="D129" s="13" t="s">
        <v>396</v>
      </c>
      <c r="E129" s="13" t="s">
        <v>397</v>
      </c>
      <c r="F129" s="13" t="s">
        <v>1553</v>
      </c>
      <c r="G129" s="13" t="s">
        <v>28</v>
      </c>
      <c r="H129" s="13" t="s">
        <v>399</v>
      </c>
      <c r="I129" s="13" t="s">
        <v>955</v>
      </c>
      <c r="J129" s="13" t="s">
        <v>47</v>
      </c>
      <c r="K129" s="13">
        <v>3.0</v>
      </c>
      <c r="L129" s="13">
        <v>1.0</v>
      </c>
      <c r="M129" s="13">
        <v>3.0</v>
      </c>
      <c r="N129" s="13" t="s">
        <v>1554</v>
      </c>
      <c r="O129" s="13" t="s">
        <v>47</v>
      </c>
      <c r="P129" s="13" t="s">
        <v>1555</v>
      </c>
      <c r="Q129" s="18" t="s">
        <v>1556</v>
      </c>
      <c r="R129" s="19" t="str">
        <f>HYPERLINK("https://docs.google.com/open?id=0B5-iztf28QNJdzczY19USU95MHc","Materials and PFCs (MP) - Allain - Study of the chemical evolution during transition from B to Li-based conditioning on D retention in NSTX-U with the Materials Analysis Particle Probe (MAPP)")</f>
        <v>Materials and PFCs (MP) - Allain - Study of the chemical evolution during transition from B to Li-based conditioning on D retention in NSTX-U with the Materials Analysis Particle Probe (MAPP)</v>
      </c>
      <c r="S129" s="20" t="s">
        <v>1557</v>
      </c>
      <c r="T129" s="13" t="s">
        <v>1558</v>
      </c>
      <c r="U129" s="18" t="s">
        <v>1559</v>
      </c>
      <c r="V129" s="19" t="str">
        <f>HYPERLINK("https://docs.google.com/open?id=0B5-iztf28QNJOFJodWdPeWV4UlE","Materials and PFCs (MP) - Allain - Study of the chemical evolution during transition from B to Li-based conditioning on D retention in NSTX-U with the Materials Analysis Particle Probe (MAPP)")</f>
        <v>Materials and PFCs (MP) - Allain - Study of the chemical evolution during transition from B to Li-based conditioning on D retention in NSTX-U with the Materials Analysis Particle Probe (MAPP)</v>
      </c>
      <c r="W129" s="20" t="s">
        <v>1560</v>
      </c>
    </row>
    <row r="130">
      <c r="A130" s="17">
        <v>42055.51854747685</v>
      </c>
      <c r="B130" s="13" t="s">
        <v>1561</v>
      </c>
      <c r="C130" s="13" t="s">
        <v>362</v>
      </c>
      <c r="D130" s="13" t="s">
        <v>363</v>
      </c>
      <c r="E130" s="13" t="s">
        <v>364</v>
      </c>
      <c r="F130" s="13" t="s">
        <v>1562</v>
      </c>
      <c r="G130" s="13" t="s">
        <v>28</v>
      </c>
      <c r="H130" s="13" t="s">
        <v>29</v>
      </c>
      <c r="I130" s="13" t="s">
        <v>60</v>
      </c>
      <c r="J130" s="13" t="s">
        <v>1563</v>
      </c>
      <c r="K130" s="13">
        <v>1.0</v>
      </c>
      <c r="L130" s="13">
        <v>0.0</v>
      </c>
      <c r="M130" s="13">
        <v>0.5</v>
      </c>
      <c r="N130" s="13" t="s">
        <v>1564</v>
      </c>
      <c r="O130" s="13" t="s">
        <v>1565</v>
      </c>
      <c r="P130" s="13" t="s">
        <v>1566</v>
      </c>
      <c r="Q130" s="18" t="s">
        <v>1567</v>
      </c>
      <c r="R130" s="19" t="str">
        <f>HYPERLINK("https://docs.google.com/open?id=0B5-iztf28QNJeEdxd1ZPZUJSWmc","Advanced Scenarios and Control (ASC) - Boyer - Current profile controllability scoping study")</f>
        <v>Advanced Scenarios and Control (ASC) - Boyer - Current profile controllability scoping study</v>
      </c>
      <c r="S130" s="20" t="s">
        <v>1568</v>
      </c>
      <c r="T130" s="13" t="s">
        <v>1569</v>
      </c>
      <c r="U130" s="18" t="s">
        <v>1570</v>
      </c>
      <c r="V130" s="19" t="str">
        <f>HYPERLINK("https://docs.google.com/open?id=0B5-iztf28QNJdl9lZGJMeDU4Tmc","Advanced Scenarios and Control (ASC) - Boyer - Current profile controllability scoping study")</f>
        <v>Advanced Scenarios and Control (ASC) - Boyer - Current profile controllability scoping study</v>
      </c>
      <c r="W130" s="20" t="s">
        <v>1571</v>
      </c>
    </row>
    <row r="131">
      <c r="A131" s="17">
        <v>42055.52215815972</v>
      </c>
      <c r="B131" s="13" t="s">
        <v>1572</v>
      </c>
      <c r="C131" s="13" t="s">
        <v>1573</v>
      </c>
      <c r="D131" s="13" t="s">
        <v>1574</v>
      </c>
      <c r="E131" s="13" t="s">
        <v>1575</v>
      </c>
      <c r="F131" s="13" t="s">
        <v>1576</v>
      </c>
      <c r="G131" s="13" t="s">
        <v>1577</v>
      </c>
      <c r="H131" s="13" t="s">
        <v>1427</v>
      </c>
      <c r="I131" s="13" t="s">
        <v>580</v>
      </c>
      <c r="J131" s="13" t="s">
        <v>1578</v>
      </c>
      <c r="K131" s="13">
        <v>0.0</v>
      </c>
      <c r="L131" s="13">
        <v>0.0</v>
      </c>
      <c r="M131" s="13">
        <v>0.0</v>
      </c>
      <c r="N131" s="13" t="s">
        <v>1579</v>
      </c>
      <c r="O131" s="13" t="s">
        <v>1580</v>
      </c>
      <c r="P131" s="13" t="s">
        <v>1581</v>
      </c>
      <c r="Q131" s="18" t="s">
        <v>1582</v>
      </c>
      <c r="R131" s="19" t="str">
        <f>HYPERLINK("https://docs.google.com/open?id=0B5-iztf28QNJVlhmMkFzb3hJMDA","Divertor and Scrape-off-layer (DS) - Schmitz - Obtain 2D divertor density image using lithium emission")</f>
        <v>Divertor and Scrape-off-layer (DS) - Schmitz - Obtain 2D divertor density image using lithium emission</v>
      </c>
      <c r="S131" s="20" t="s">
        <v>1583</v>
      </c>
      <c r="T131" s="13" t="s">
        <v>1584</v>
      </c>
      <c r="U131" s="18" t="s">
        <v>1585</v>
      </c>
      <c r="V131" s="19" t="str">
        <f>HYPERLINK("https://docs.google.com/open?id=0B5-iztf28QNJNFBrSXg3ZlVPVkk","Divertor and Scrape-off-layer (DS) - Schmitz - Obtain 2D divertor density image using lithium emission")</f>
        <v>Divertor and Scrape-off-layer (DS) - Schmitz - Obtain 2D divertor density image using lithium emission</v>
      </c>
      <c r="W131" s="20" t="s">
        <v>1586</v>
      </c>
    </row>
    <row r="132">
      <c r="A132" s="17">
        <v>42055.552053321764</v>
      </c>
      <c r="B132" s="13" t="s">
        <v>1587</v>
      </c>
      <c r="C132" s="13" t="s">
        <v>1588</v>
      </c>
      <c r="D132" s="13" t="s">
        <v>1589</v>
      </c>
      <c r="E132" s="13" t="s">
        <v>1590</v>
      </c>
      <c r="F132" s="13" t="s">
        <v>1591</v>
      </c>
      <c r="G132" s="13" t="s">
        <v>28</v>
      </c>
      <c r="H132" s="13" t="s">
        <v>1592</v>
      </c>
      <c r="I132" s="13" t="s">
        <v>592</v>
      </c>
      <c r="J132" s="13" t="s">
        <v>1593</v>
      </c>
      <c r="K132" s="13">
        <v>1.0</v>
      </c>
      <c r="L132" s="13">
        <v>0.0</v>
      </c>
      <c r="M132" s="13">
        <v>1.0</v>
      </c>
      <c r="N132" s="13" t="s">
        <v>1594</v>
      </c>
      <c r="O132" s="13" t="s">
        <v>1595</v>
      </c>
      <c r="P132" s="13" t="s">
        <v>1596</v>
      </c>
      <c r="Q132" s="18" t="s">
        <v>1597</v>
      </c>
      <c r="R132" s="19" t="str">
        <f>HYPERLINK("https://docs.google.com/open?id=0B5-iztf28QNJenE4VFdTVVZtMm8","Cross-cutting and Enabling (CC) - Soukhanovskii - Assess high-Z granule injection")</f>
        <v>Cross-cutting and Enabling (CC) - Soukhanovskii - Assess high-Z granule injection</v>
      </c>
      <c r="S132" s="20" t="s">
        <v>1598</v>
      </c>
      <c r="T132" s="13" t="s">
        <v>1599</v>
      </c>
      <c r="U132" s="18" t="s">
        <v>1600</v>
      </c>
      <c r="V132" s="19" t="str">
        <f>HYPERLINK("https://docs.google.com/open?id=0B5-iztf28QNJZzhIbW83WVFJWWs","Particle Control Task Force (PC) - Soukhanovskii - Assess high-Z granule injection")</f>
        <v>Particle Control Task Force (PC) - Soukhanovskii - Assess high-Z granule injection</v>
      </c>
      <c r="W132" s="20" t="s">
        <v>1601</v>
      </c>
    </row>
    <row r="133">
      <c r="A133" s="17">
        <v>42055.56786496528</v>
      </c>
      <c r="B133" s="13" t="s">
        <v>1602</v>
      </c>
      <c r="C133" s="13" t="s">
        <v>1603</v>
      </c>
      <c r="D133" s="13" t="s">
        <v>1589</v>
      </c>
      <c r="E133" s="13" t="s">
        <v>1590</v>
      </c>
      <c r="F133" s="13" t="s">
        <v>1604</v>
      </c>
      <c r="G133" s="13" t="s">
        <v>28</v>
      </c>
      <c r="H133" s="13" t="s">
        <v>1592</v>
      </c>
      <c r="I133" s="13" t="s">
        <v>580</v>
      </c>
      <c r="J133" s="13" t="s">
        <v>1605</v>
      </c>
      <c r="K133" s="13">
        <v>2.0</v>
      </c>
      <c r="L133" s="13">
        <v>1.0</v>
      </c>
      <c r="M133" s="13">
        <v>1.0</v>
      </c>
      <c r="N133" s="13" t="s">
        <v>1606</v>
      </c>
      <c r="O133" s="13" t="s">
        <v>1607</v>
      </c>
      <c r="P133" s="13" t="s">
        <v>1608</v>
      </c>
      <c r="Q133" s="18" t="s">
        <v>1609</v>
      </c>
      <c r="R133" s="19" t="str">
        <f>HYPERLINK("https://docs.google.com/open?id=0B5-iztf28QNJX1R3UlB2UUVwc0U","Divertor and Scrape-off-layer (DS) - Soukhanovskii - Initial radiative divertor experiments")</f>
        <v>Divertor and Scrape-off-layer (DS) - Soukhanovskii - Initial radiative divertor experiments</v>
      </c>
      <c r="S133" s="20" t="s">
        <v>1610</v>
      </c>
      <c r="T133" s="13" t="s">
        <v>1611</v>
      </c>
      <c r="U133" s="18" t="s">
        <v>1612</v>
      </c>
      <c r="V133" s="19" t="str">
        <f>HYPERLINK("https://docs.google.com/open?id=0B5-iztf28QNJOXJudkxRWGxSYXc","Divertor and Scrape-off-layer (DS) - Soukhanovskii - Radiative divertor experiments")</f>
        <v>Divertor and Scrape-off-layer (DS) - Soukhanovskii - Radiative divertor experiments</v>
      </c>
      <c r="W133" s="20" t="s">
        <v>1613</v>
      </c>
    </row>
    <row r="134">
      <c r="A134" s="17">
        <v>42055.54256976851</v>
      </c>
      <c r="B134" s="13" t="s">
        <v>1614</v>
      </c>
      <c r="C134" s="13" t="s">
        <v>1468</v>
      </c>
      <c r="D134" s="13" t="s">
        <v>1469</v>
      </c>
      <c r="E134" s="13" t="s">
        <v>1470</v>
      </c>
      <c r="F134" s="13" t="s">
        <v>1615</v>
      </c>
      <c r="G134" s="13" t="s">
        <v>28</v>
      </c>
      <c r="H134" s="13" t="s">
        <v>29</v>
      </c>
      <c r="I134" s="13" t="s">
        <v>663</v>
      </c>
      <c r="J134" s="13" t="s">
        <v>47</v>
      </c>
      <c r="K134" s="13">
        <v>1.0</v>
      </c>
      <c r="L134" s="13">
        <v>0.0</v>
      </c>
      <c r="M134" s="13">
        <v>0.5</v>
      </c>
      <c r="N134" s="13" t="s">
        <v>1616</v>
      </c>
      <c r="O134" s="13" t="s">
        <v>1617</v>
      </c>
      <c r="P134" s="13" t="s">
        <v>1618</v>
      </c>
      <c r="Q134" s="18" t="s">
        <v>1619</v>
      </c>
      <c r="R134" s="19" t="str">
        <f>HYPERLINK("https://docs.google.com/open?id=0B5-iztf28QNJRU1pX1liU25kWGs","Turbulence and Transport (TT) - Guttenfelder - Investigating influence of rotation profile on transport and turbulence")</f>
        <v>Turbulence and Transport (TT) - Guttenfelder - Investigating influence of rotation profile on transport and turbulence</v>
      </c>
      <c r="S134" s="20" t="s">
        <v>1620</v>
      </c>
      <c r="T134" s="13" t="s">
        <v>1621</v>
      </c>
      <c r="U134" s="18" t="s">
        <v>1622</v>
      </c>
      <c r="V134" s="19" t="str">
        <f>HYPERLINK("https://docs.google.com/open?id=0B5-iztf28QNJRnEzVWttVkxnb2s","Turbulence and Transport (TT) - Guttenfelder - Investigating influence of rotation profile on transport and turbulence")</f>
        <v>Turbulence and Transport (TT) - Guttenfelder - Investigating influence of rotation profile on transport and turbulence</v>
      </c>
      <c r="W134" s="20" t="s">
        <v>1623</v>
      </c>
    </row>
    <row r="135">
      <c r="A135" s="17">
        <v>42055.54367371528</v>
      </c>
      <c r="B135" s="13" t="s">
        <v>1624</v>
      </c>
      <c r="C135" s="13" t="s">
        <v>1603</v>
      </c>
      <c r="D135" s="13" t="s">
        <v>1589</v>
      </c>
      <c r="E135" s="13" t="s">
        <v>1590</v>
      </c>
      <c r="F135" s="13" t="s">
        <v>1604</v>
      </c>
      <c r="G135" s="13" t="s">
        <v>28</v>
      </c>
      <c r="H135" s="13" t="s">
        <v>1592</v>
      </c>
      <c r="I135" s="13" t="s">
        <v>592</v>
      </c>
      <c r="J135" s="13" t="s">
        <v>47</v>
      </c>
      <c r="K135" s="13">
        <v>1.0</v>
      </c>
      <c r="L135" s="13">
        <v>1.0</v>
      </c>
      <c r="M135" s="13">
        <v>1.0</v>
      </c>
      <c r="N135" s="13" t="s">
        <v>1625</v>
      </c>
      <c r="O135" s="13" t="s">
        <v>480</v>
      </c>
      <c r="P135" s="13" t="s">
        <v>1626</v>
      </c>
      <c r="Q135" s="18" t="s">
        <v>1627</v>
      </c>
      <c r="R135" s="19" t="str">
        <f>HYPERLINK("https://docs.google.com/open?id=0B5-iztf28QNJZzNJY2lJNHZqbFU","Particle Control Task Force (PC) - Soukhanovskii - Recycling and pumping with lithium coatings")</f>
        <v>Particle Control Task Force (PC) - Soukhanovskii - Recycling and pumping with lithium coatings</v>
      </c>
      <c r="S135" s="20" t="s">
        <v>1628</v>
      </c>
      <c r="T135" s="13" t="s">
        <v>1629</v>
      </c>
      <c r="U135" s="18" t="s">
        <v>1630</v>
      </c>
      <c r="V135" s="19" t="str">
        <f>HYPERLINK("https://docs.google.com/open?id=0B5-iztf28QNJbkVCa2gwT1ZYRUU","Particle Control Task Force (PC) - Soukhanovskii - Recycling and pumping with lithium coatings")</f>
        <v>Particle Control Task Force (PC) - Soukhanovskii - Recycling and pumping with lithium coatings</v>
      </c>
      <c r="W135" s="20" t="s">
        <v>1631</v>
      </c>
    </row>
    <row r="136">
      <c r="A136" s="17">
        <v>42055.54983752315</v>
      </c>
      <c r="B136" s="13" t="s">
        <v>1632</v>
      </c>
      <c r="C136" s="13" t="s">
        <v>1603</v>
      </c>
      <c r="D136" s="13" t="s">
        <v>1589</v>
      </c>
      <c r="E136" s="13" t="s">
        <v>1590</v>
      </c>
      <c r="F136" s="13" t="s">
        <v>1604</v>
      </c>
      <c r="G136" s="13" t="s">
        <v>28</v>
      </c>
      <c r="H136" s="13" t="s">
        <v>1592</v>
      </c>
      <c r="I136" s="13" t="s">
        <v>154</v>
      </c>
      <c r="J136" s="13" t="s">
        <v>1605</v>
      </c>
      <c r="K136" s="13">
        <v>1.0</v>
      </c>
      <c r="L136" s="13">
        <v>1.0</v>
      </c>
      <c r="M136" s="13">
        <v>1.0</v>
      </c>
      <c r="N136" s="13" t="s">
        <v>1633</v>
      </c>
      <c r="O136" s="13" t="s">
        <v>480</v>
      </c>
      <c r="P136" s="13" t="s">
        <v>1634</v>
      </c>
      <c r="Q136" s="18" t="s">
        <v>1635</v>
      </c>
      <c r="R136" s="19" t="str">
        <f>HYPERLINK("https://docs.google.com/open?id=0B5-iztf28QNJUXpZdldMeFVRcDQ","Cross-cutting and Enabling (CC) - Soukhanovskii - Initial snowflake divertor with Pre-programmed coils")</f>
        <v>Cross-cutting and Enabling (CC) - Soukhanovskii - Initial snowflake divertor with Pre-programmed coils</v>
      </c>
      <c r="S136" s="20" t="s">
        <v>1636</v>
      </c>
      <c r="T136" s="13" t="s">
        <v>1637</v>
      </c>
      <c r="U136" s="18" t="s">
        <v>1638</v>
      </c>
      <c r="V136" s="19" t="str">
        <f>HYPERLINK("https://docs.google.com/open?id=0B5-iztf28QNJd25MWGhiUTY5TW8","Cross-cutting and Enabling (CC) - Soukhanovskii - Initial snowflake divertor with Pre-programmed coils")</f>
        <v>Cross-cutting and Enabling (CC) - Soukhanovskii - Initial snowflake divertor with Pre-programmed coils</v>
      </c>
      <c r="W136" s="20" t="s">
        <v>1639</v>
      </c>
    </row>
    <row r="137">
      <c r="A137" s="17">
        <v>42055.55791667825</v>
      </c>
      <c r="B137" s="13" t="s">
        <v>1640</v>
      </c>
      <c r="C137" s="13" t="s">
        <v>1603</v>
      </c>
      <c r="D137" s="13" t="s">
        <v>1589</v>
      </c>
      <c r="E137" s="13" t="s">
        <v>1590</v>
      </c>
      <c r="F137" s="13" t="s">
        <v>1604</v>
      </c>
      <c r="G137" s="13" t="s">
        <v>28</v>
      </c>
      <c r="H137" s="13" t="s">
        <v>1592</v>
      </c>
      <c r="I137" s="13" t="s">
        <v>592</v>
      </c>
      <c r="J137" s="13" t="s">
        <v>480</v>
      </c>
      <c r="K137" s="13">
        <v>1.0</v>
      </c>
      <c r="L137" s="13">
        <v>1.0</v>
      </c>
      <c r="M137" s="13">
        <v>1.0</v>
      </c>
      <c r="N137" s="13" t="s">
        <v>1641</v>
      </c>
      <c r="O137" s="13" t="s">
        <v>1642</v>
      </c>
      <c r="P137" s="13" t="s">
        <v>1643</v>
      </c>
      <c r="Q137" s="18" t="s">
        <v>1644</v>
      </c>
      <c r="R137" s="19" t="str">
        <f>HYPERLINK("https://docs.google.com/open?id=0B5-iztf28QNJN2F1VFpXa3hKSVk","Particle Control Task Force (PC) - Soukhanovskii - Divertor gas puff effect on impurity reduction")</f>
        <v>Particle Control Task Force (PC) - Soukhanovskii - Divertor gas puff effect on impurity reduction</v>
      </c>
      <c r="S137" s="20" t="s">
        <v>1645</v>
      </c>
      <c r="T137" s="13" t="s">
        <v>1646</v>
      </c>
      <c r="U137" s="18" t="s">
        <v>1647</v>
      </c>
      <c r="V137" s="19" t="str">
        <f>HYPERLINK("https://docs.google.com/open?id=0B5-iztf28QNJNjYxYmgyMzNiOEE","Particle Control Task Force (PC) - Soukhanovskii - Divertor gas puff effect on impurity reduction")</f>
        <v>Particle Control Task Force (PC) - Soukhanovskii - Divertor gas puff effect on impurity reduction</v>
      </c>
      <c r="W137" s="20" t="s">
        <v>1648</v>
      </c>
    </row>
    <row r="138">
      <c r="A138" s="17">
        <v>42055.580381747684</v>
      </c>
      <c r="B138" s="13" t="s">
        <v>1649</v>
      </c>
      <c r="C138" s="13" t="s">
        <v>333</v>
      </c>
      <c r="D138" s="13" t="s">
        <v>334</v>
      </c>
      <c r="E138" s="13" t="s">
        <v>335</v>
      </c>
      <c r="F138" s="13" t="s">
        <v>1650</v>
      </c>
      <c r="G138" s="13" t="s">
        <v>28</v>
      </c>
      <c r="H138" s="13" t="s">
        <v>337</v>
      </c>
      <c r="I138" s="13" t="s">
        <v>169</v>
      </c>
      <c r="J138" s="13" t="s">
        <v>1651</v>
      </c>
      <c r="K138" s="13">
        <v>0.0</v>
      </c>
      <c r="L138" s="13">
        <v>0.0</v>
      </c>
      <c r="M138" s="13">
        <v>0.0</v>
      </c>
      <c r="N138" s="13" t="s">
        <v>1652</v>
      </c>
      <c r="O138" s="13" t="s">
        <v>1653</v>
      </c>
      <c r="P138" s="13" t="s">
        <v>1654</v>
      </c>
      <c r="Q138" s="18" t="s">
        <v>1655</v>
      </c>
      <c r="R138" s="19" t="str">
        <f>HYPERLINK("https://docs.google.com/open?id=0B5-iztf28QNJOWY1Yi1zYUhFUkE","Macroscopic Stability (MS) - Sabbagh - Disruption PAM Characterization, Measurements, and Criteria")</f>
        <v>Macroscopic Stability (MS) - Sabbagh - Disruption PAM Characterization, Measurements, and Criteria</v>
      </c>
      <c r="S138" s="20" t="s">
        <v>1656</v>
      </c>
      <c r="T138" s="13" t="s">
        <v>1657</v>
      </c>
      <c r="U138" s="18" t="s">
        <v>1658</v>
      </c>
      <c r="V138" s="19" t="str">
        <f>HYPERLINK("https://docs.google.com/open?id=0B5-iztf28QNJNzh2MzJNdmdjMlE","Macroscopic Stability (MS) - Sabbagh - Disruption PAM Characterization, Measurements, and Criteria")</f>
        <v>Macroscopic Stability (MS) - Sabbagh - Disruption PAM Characterization, Measurements, and Criteria</v>
      </c>
      <c r="W138" s="20" t="s">
        <v>1659</v>
      </c>
    </row>
    <row r="139">
      <c r="A139" s="17">
        <v>42058.60518268518</v>
      </c>
      <c r="B139" s="13" t="s">
        <v>1660</v>
      </c>
      <c r="C139" s="13" t="s">
        <v>1661</v>
      </c>
      <c r="D139" s="13" t="s">
        <v>1662</v>
      </c>
      <c r="E139" s="13" t="s">
        <v>1663</v>
      </c>
      <c r="F139" s="13" t="s">
        <v>1664</v>
      </c>
      <c r="G139" s="13" t="s">
        <v>28</v>
      </c>
      <c r="H139" s="13" t="s">
        <v>168</v>
      </c>
      <c r="I139" s="13" t="s">
        <v>235</v>
      </c>
      <c r="J139" s="13" t="s">
        <v>1665</v>
      </c>
      <c r="K139" s="13">
        <v>2.0</v>
      </c>
      <c r="L139" s="13">
        <v>1.0</v>
      </c>
      <c r="M139" s="13">
        <v>1.0</v>
      </c>
      <c r="N139" s="13" t="s">
        <v>1666</v>
      </c>
      <c r="O139" s="13" t="s">
        <v>1667</v>
      </c>
      <c r="P139" s="13" t="s">
        <v>1668</v>
      </c>
      <c r="Q139" s="18" t="s">
        <v>1669</v>
      </c>
      <c r="R139" s="19" t="str">
        <f>HYPERLINK("https://docs.google.com/open?id=0B5-iztf28QNJNzdDZUlMVjVfUjA","Pedestal Structure and Control (PS) - Osborne - Effects of different impurities on pedestal structure")</f>
        <v>Pedestal Structure and Control (PS) - Osborne - Effects of different impurities on pedestal structure</v>
      </c>
      <c r="S139" s="20" t="s">
        <v>1670</v>
      </c>
      <c r="T139" s="13" t="s">
        <v>1671</v>
      </c>
      <c r="U139" s="18" t="s">
        <v>1672</v>
      </c>
      <c r="V139" s="19" t="str">
        <f>HYPERLINK("https://docs.google.com/open?id=0B5-iztf28QNJNUVpUzI3WlhBdE0","Pedestal Structure and Control (PS) - Osborne - Effects of different impurities on pedestal structure")</f>
        <v>Pedestal Structure and Control (PS) - Osborne - Effects of different impurities on pedestal structure</v>
      </c>
      <c r="W139" s="20" t="s">
        <v>1673</v>
      </c>
    </row>
    <row r="140">
      <c r="A140" s="17">
        <v>42055.58612024306</v>
      </c>
      <c r="B140" s="13" t="s">
        <v>1674</v>
      </c>
      <c r="C140" s="13" t="s">
        <v>1661</v>
      </c>
      <c r="D140" s="13" t="s">
        <v>1662</v>
      </c>
      <c r="E140" s="13" t="s">
        <v>1663</v>
      </c>
      <c r="F140" s="13" t="s">
        <v>31</v>
      </c>
      <c r="G140" s="13" t="s">
        <v>28</v>
      </c>
      <c r="H140" s="13" t="s">
        <v>168</v>
      </c>
      <c r="I140" s="13" t="s">
        <v>235</v>
      </c>
      <c r="J140" s="13" t="s">
        <v>31</v>
      </c>
      <c r="K140" s="13">
        <v>1.0</v>
      </c>
      <c r="L140" s="13">
        <v>0.0</v>
      </c>
      <c r="M140" s="13">
        <v>1.0</v>
      </c>
      <c r="N140" s="13" t="s">
        <v>1675</v>
      </c>
      <c r="O140" s="13" t="s">
        <v>1676</v>
      </c>
      <c r="P140" s="13" t="s">
        <v>1677</v>
      </c>
      <c r="Q140" s="18" t="s">
        <v>1678</v>
      </c>
      <c r="R140" s="19" t="str">
        <f>HYPERLINK("https://docs.google.com/open?id=0B5-iztf28QNJdHRJTVQ1bldZM0E","Pedestal Structure and Control (PS) - Osborne - Pedestal peeling-ballooning mode stability along the ballooning boundary")</f>
        <v>Pedestal Structure and Control (PS) - Osborne - Pedestal peeling-ballooning mode stability along the ballooning boundary</v>
      </c>
      <c r="S140" s="20" t="s">
        <v>1679</v>
      </c>
      <c r="T140" s="13" t="s">
        <v>1680</v>
      </c>
      <c r="U140" s="18" t="s">
        <v>1681</v>
      </c>
      <c r="V140" s="19" t="str">
        <f>HYPERLINK("https://docs.google.com/open?id=0B5-iztf28QNJWWVpbng3ZGpIUUk","Pedestal Structure and Control (PS) - Osborne - Pedestal peeling-ballooning mode stability along the ballooning boundary")</f>
        <v>Pedestal Structure and Control (PS) - Osborne - Pedestal peeling-ballooning mode stability along the ballooning boundary</v>
      </c>
      <c r="W140" s="20" t="s">
        <v>1682</v>
      </c>
    </row>
    <row r="141">
      <c r="A141" s="17">
        <v>42055.59541041667</v>
      </c>
      <c r="B141" s="13" t="s">
        <v>1683</v>
      </c>
      <c r="C141" s="13" t="s">
        <v>1684</v>
      </c>
      <c r="D141" s="13" t="s">
        <v>1685</v>
      </c>
      <c r="E141" s="13" t="s">
        <v>1686</v>
      </c>
      <c r="F141" s="13" t="s">
        <v>1687</v>
      </c>
      <c r="G141" s="13" t="s">
        <v>28</v>
      </c>
      <c r="H141" s="13" t="s">
        <v>1688</v>
      </c>
      <c r="I141" s="13" t="s">
        <v>663</v>
      </c>
      <c r="J141" s="13" t="s">
        <v>1689</v>
      </c>
      <c r="K141" s="13">
        <v>1.5</v>
      </c>
      <c r="L141" s="13">
        <v>0.0</v>
      </c>
      <c r="M141" s="13">
        <v>1.0</v>
      </c>
      <c r="N141" s="13" t="s">
        <v>1690</v>
      </c>
      <c r="O141" s="13" t="s">
        <v>1691</v>
      </c>
      <c r="P141" s="13" t="s">
        <v>1692</v>
      </c>
      <c r="Q141" s="18" t="s">
        <v>1693</v>
      </c>
      <c r="R141" s="19" t="str">
        <f>HYPERLINK("https://docs.google.com/open?id=0B5-iztf28QNJZmh2VU9HTndubEE","Turbulence and Transport (TT) - Munoz-Burgos - Core Impurity Transport Measurements at Fixed q-Profile using the new ME-SXR Diagnostic.")</f>
        <v>Turbulence and Transport (TT) - Munoz-Burgos - Core Impurity Transport Measurements at Fixed q-Profile using the new ME-SXR Diagnostic.</v>
      </c>
      <c r="S141" s="20" t="s">
        <v>1694</v>
      </c>
      <c r="T141" s="13" t="s">
        <v>1695</v>
      </c>
      <c r="U141" s="18" t="s">
        <v>1696</v>
      </c>
      <c r="V141" s="19" t="str">
        <f>HYPERLINK("https://docs.google.com/open?id=0B5-iztf28QNJR1JJc2thSnBSUDg","Turbulence and Transport (TT) - Munoz-Burgos - Core Impurity Transport Measurements at Fixed q-Profile using the new ME-SXR Diagnostic.")</f>
        <v>Turbulence and Transport (TT) - Munoz-Burgos - Core Impurity Transport Measurements at Fixed q-Profile using the new ME-SXR Diagnostic.</v>
      </c>
      <c r="W141" s="20" t="s">
        <v>1697</v>
      </c>
    </row>
    <row r="142">
      <c r="A142" s="17">
        <v>42055.59645366898</v>
      </c>
      <c r="B142" s="13" t="s">
        <v>1698</v>
      </c>
      <c r="C142" s="13" t="s">
        <v>1603</v>
      </c>
      <c r="D142" s="13" t="s">
        <v>1589</v>
      </c>
      <c r="E142" s="13" t="s">
        <v>1590</v>
      </c>
      <c r="F142" s="13" t="s">
        <v>1699</v>
      </c>
      <c r="G142" s="13" t="s">
        <v>28</v>
      </c>
      <c r="H142" s="13" t="s">
        <v>1592</v>
      </c>
      <c r="I142" s="13" t="s">
        <v>60</v>
      </c>
      <c r="J142" s="13" t="s">
        <v>1605</v>
      </c>
      <c r="K142" s="13">
        <v>1.0</v>
      </c>
      <c r="L142" s="13">
        <v>0.0</v>
      </c>
      <c r="M142" s="13">
        <v>1.0</v>
      </c>
      <c r="N142" s="13" t="s">
        <v>1700</v>
      </c>
      <c r="O142" s="13" t="s">
        <v>1701</v>
      </c>
      <c r="P142" s="13" t="s">
        <v>1702</v>
      </c>
      <c r="Q142" s="18" t="s">
        <v>1703</v>
      </c>
      <c r="R142" s="19" t="str">
        <f>HYPERLINK("https://docs.google.com/open?id=0B5-iztf28QNJaEJUVFdhdXF6MXM","Advanced Scenarios and Control (ASC) - Soukhanovskii - Snowflake control development")</f>
        <v>Advanced Scenarios and Control (ASC) - Soukhanovskii - Snowflake control development</v>
      </c>
      <c r="S142" s="20" t="s">
        <v>1704</v>
      </c>
      <c r="T142" s="13" t="s">
        <v>1705</v>
      </c>
      <c r="U142" s="18" t="s">
        <v>1706</v>
      </c>
      <c r="V142" s="19" t="str">
        <f>HYPERLINK("https://docs.google.com/open?id=0B5-iztf28QNJZVdTLUdjMmV1VzQ","Advanced Scenarios and Control (ASC) - Soukhanovskii - Snowflake control development")</f>
        <v>Advanced Scenarios and Control (ASC) - Soukhanovskii - Snowflake control development</v>
      </c>
      <c r="W142" s="20" t="s">
        <v>1707</v>
      </c>
    </row>
    <row r="143">
      <c r="A143" s="17">
        <v>42055.61079157407</v>
      </c>
      <c r="B143" s="13" t="s">
        <v>1708</v>
      </c>
      <c r="C143" s="13" t="s">
        <v>1709</v>
      </c>
      <c r="D143" s="13" t="s">
        <v>1710</v>
      </c>
      <c r="E143" s="13" t="s">
        <v>1711</v>
      </c>
      <c r="F143" s="13" t="s">
        <v>1712</v>
      </c>
      <c r="G143" s="13" t="s">
        <v>28</v>
      </c>
      <c r="H143" s="13" t="s">
        <v>1688</v>
      </c>
      <c r="I143" s="13" t="s">
        <v>663</v>
      </c>
      <c r="J143" s="13" t="s">
        <v>1713</v>
      </c>
      <c r="K143" s="13">
        <v>1.0</v>
      </c>
      <c r="L143" s="13">
        <v>0.0</v>
      </c>
      <c r="M143" s="13">
        <v>0.5</v>
      </c>
      <c r="N143" s="13" t="s">
        <v>1714</v>
      </c>
      <c r="O143" s="13" t="s">
        <v>1715</v>
      </c>
      <c r="P143" s="13" t="s">
        <v>1716</v>
      </c>
      <c r="Q143" s="18" t="s">
        <v>1717</v>
      </c>
      <c r="R143" s="19" t="str">
        <f>HYPERLINK("https://docs.google.com/open?id=0B5-iztf28QNJN0E0RW5SZ1BrWUU","Turbulence and Transport (TT) - Tritz - Perturbed edge impurity transport")</f>
        <v>Turbulence and Transport (TT) - Tritz - Perturbed edge impurity transport</v>
      </c>
      <c r="S143" s="20" t="s">
        <v>1718</v>
      </c>
      <c r="T143" s="13" t="s">
        <v>1719</v>
      </c>
      <c r="U143" s="18" t="s">
        <v>1720</v>
      </c>
      <c r="V143" s="19" t="str">
        <f>HYPERLINK("https://docs.google.com/open?id=0B5-iztf28QNJQzhqRW9hakIxSmM","Turbulence and Transport (TT) - Tritz - Perturbed edge impurity transport")</f>
        <v>Turbulence and Transport (TT) - Tritz - Perturbed edge impurity transport</v>
      </c>
      <c r="W143" s="20" t="s">
        <v>1721</v>
      </c>
    </row>
    <row r="144">
      <c r="A144" s="17">
        <v>42055.612675509255</v>
      </c>
      <c r="B144" s="13" t="s">
        <v>1722</v>
      </c>
      <c r="C144" s="13" t="s">
        <v>1709</v>
      </c>
      <c r="D144" s="13" t="s">
        <v>1710</v>
      </c>
      <c r="E144" s="13" t="s">
        <v>1711</v>
      </c>
      <c r="F144" s="13" t="s">
        <v>1723</v>
      </c>
      <c r="G144" s="13" t="s">
        <v>28</v>
      </c>
      <c r="H144" s="13" t="s">
        <v>1688</v>
      </c>
      <c r="I144" s="13" t="s">
        <v>663</v>
      </c>
      <c r="J144" s="13" t="s">
        <v>1724</v>
      </c>
      <c r="K144" s="13">
        <v>0.5</v>
      </c>
      <c r="L144" s="13">
        <v>0.0</v>
      </c>
      <c r="M144" s="13">
        <v>0.0</v>
      </c>
      <c r="N144" s="13" t="s">
        <v>1725</v>
      </c>
      <c r="O144" s="13" t="s">
        <v>47</v>
      </c>
      <c r="P144" s="13" t="s">
        <v>1726</v>
      </c>
      <c r="Q144" s="18" t="s">
        <v>1727</v>
      </c>
      <c r="R144" s="19" t="str">
        <f>HYPERLINK("https://docs.google.com/open?id=0B5-iztf28QNJYUtHYjZDWFJ5c0U","Turbulence and Transport (TT) - Tritz - Correlation of *AE bursts with fast core Te profiles")</f>
        <v>Turbulence and Transport (TT) - Tritz - Correlation of *AE bursts with fast core Te profiles</v>
      </c>
      <c r="S144" s="20" t="s">
        <v>1728</v>
      </c>
      <c r="T144" s="13" t="s">
        <v>1729</v>
      </c>
      <c r="U144" s="18" t="s">
        <v>1730</v>
      </c>
      <c r="V144" s="19" t="str">
        <f>HYPERLINK("https://docs.google.com/open?id=0B5-iztf28QNJNWw1Sk9PSFUyNWM","Turbulence and Transport (TT) - Tritz - Correlation of *AE bursts with fast core Te profiles")</f>
        <v>Turbulence and Transport (TT) - Tritz - Correlation of *AE bursts with fast core Te profiles</v>
      </c>
      <c r="W144" s="20" t="s">
        <v>1731</v>
      </c>
    </row>
    <row r="145">
      <c r="A145" s="17">
        <v>42055.62177186342</v>
      </c>
      <c r="B145" s="13" t="s">
        <v>1732</v>
      </c>
      <c r="C145" s="13" t="s">
        <v>179</v>
      </c>
      <c r="D145" s="13" t="s">
        <v>180</v>
      </c>
      <c r="E145" s="13" t="s">
        <v>181</v>
      </c>
      <c r="F145" s="13" t="s">
        <v>1733</v>
      </c>
      <c r="G145" s="13" t="s">
        <v>28</v>
      </c>
      <c r="H145" s="13" t="s">
        <v>29</v>
      </c>
      <c r="I145" s="13" t="s">
        <v>169</v>
      </c>
      <c r="J145" s="13" t="s">
        <v>1734</v>
      </c>
      <c r="K145" s="13">
        <v>0.25</v>
      </c>
      <c r="L145" s="13">
        <v>0.0</v>
      </c>
      <c r="M145" s="13">
        <v>0.0</v>
      </c>
      <c r="N145" s="13" t="s">
        <v>1735</v>
      </c>
      <c r="O145" s="13" t="s">
        <v>1736</v>
      </c>
      <c r="P145" s="13" t="s">
        <v>1737</v>
      </c>
      <c r="Q145" s="18" t="s">
        <v>1738</v>
      </c>
      <c r="R145" s="19" t="str">
        <f>HYPERLINK("https://docs.google.com/open?id=0B5-iztf28QNJeXEtMU9zZmpESGs","Macroscopic Stability (MS) - Myers - Disruption halo current studies in NSTX-U")</f>
        <v>Macroscopic Stability (MS) - Myers - Disruption halo current studies in NSTX-U</v>
      </c>
      <c r="S145" s="20" t="s">
        <v>1739</v>
      </c>
      <c r="T145" s="13" t="s">
        <v>1740</v>
      </c>
      <c r="U145" s="18" t="s">
        <v>1741</v>
      </c>
      <c r="V145" s="19" t="str">
        <f>HYPERLINK("https://docs.google.com/open?id=0B5-iztf28QNJd0Z3RTVaODBiQjA","Macroscopic Stability (MS) - Myers - Disruption halo current studies in NSTX-U")</f>
        <v>Macroscopic Stability (MS) - Myers - Disruption halo current studies in NSTX-U</v>
      </c>
      <c r="W145" s="20" t="s">
        <v>1742</v>
      </c>
    </row>
    <row r="146">
      <c r="A146" s="17">
        <v>42055.622134687495</v>
      </c>
      <c r="B146" s="13" t="s">
        <v>1743</v>
      </c>
      <c r="C146" s="13" t="s">
        <v>1603</v>
      </c>
      <c r="D146" s="13" t="s">
        <v>1589</v>
      </c>
      <c r="E146" s="13" t="s">
        <v>1590</v>
      </c>
      <c r="F146" s="13" t="s">
        <v>1604</v>
      </c>
      <c r="G146" s="13" t="s">
        <v>28</v>
      </c>
      <c r="H146" s="13" t="s">
        <v>1592</v>
      </c>
      <c r="I146" s="13" t="s">
        <v>580</v>
      </c>
      <c r="J146" s="13" t="s">
        <v>1605</v>
      </c>
      <c r="K146" s="13">
        <v>3.0</v>
      </c>
      <c r="L146" s="13">
        <v>1.0</v>
      </c>
      <c r="M146" s="13">
        <v>1.0</v>
      </c>
      <c r="N146" s="13" t="s">
        <v>1744</v>
      </c>
      <c r="O146" s="13" t="s">
        <v>1745</v>
      </c>
      <c r="P146" s="13" t="s">
        <v>1746</v>
      </c>
      <c r="Q146" s="18" t="s">
        <v>1747</v>
      </c>
      <c r="R146" s="19" t="str">
        <f>HYPERLINK("https://docs.google.com/open?id=0B5-iztf28QNJSzBwR1hwNzhXbGM","Divertor and Scrape-off-layer (DS) - Soukhanovskii - Clarifying Snowflake divertor configuration physics")</f>
        <v>Divertor and Scrape-off-layer (DS) - Soukhanovskii - Clarifying Snowflake divertor configuration physics</v>
      </c>
      <c r="S146" s="20" t="s">
        <v>1748</v>
      </c>
      <c r="T146" s="13" t="s">
        <v>1749</v>
      </c>
      <c r="U146" s="18" t="s">
        <v>1750</v>
      </c>
      <c r="V146" s="19" t="str">
        <f>HYPERLINK("https://docs.google.com/open?id=0B5-iztf28QNJUnpDdjV0NFpWYjA","Divertor and Scrape-off-layer (DS) - Soukhanovskii - Clarifying Snowflake divertor configuration physics")</f>
        <v>Divertor and Scrape-off-layer (DS) - Soukhanovskii - Clarifying Snowflake divertor configuration physics</v>
      </c>
      <c r="W146" s="20" t="s">
        <v>1751</v>
      </c>
    </row>
    <row r="147">
      <c r="A147" s="17">
        <v>42055.63208427083</v>
      </c>
      <c r="B147" s="13" t="s">
        <v>1752</v>
      </c>
      <c r="C147" s="13" t="s">
        <v>1753</v>
      </c>
      <c r="D147" s="13" t="s">
        <v>1754</v>
      </c>
      <c r="E147" s="13" t="s">
        <v>1755</v>
      </c>
      <c r="F147" s="13" t="s">
        <v>1756</v>
      </c>
      <c r="G147" s="13" t="s">
        <v>28</v>
      </c>
      <c r="H147" s="13" t="s">
        <v>83</v>
      </c>
      <c r="I147" s="13" t="s">
        <v>663</v>
      </c>
      <c r="J147" s="13" t="s">
        <v>1757</v>
      </c>
      <c r="K147" s="13">
        <v>2.0</v>
      </c>
      <c r="L147" s="13">
        <v>0.0</v>
      </c>
      <c r="M147" s="13">
        <v>1.0</v>
      </c>
      <c r="N147" s="13" t="s">
        <v>1758</v>
      </c>
      <c r="O147" s="13" t="s">
        <v>1759</v>
      </c>
      <c r="P147" s="13" t="s">
        <v>1760</v>
      </c>
      <c r="Q147" s="18" t="s">
        <v>1761</v>
      </c>
      <c r="R147" s="19" t="str">
        <f>HYPERLINK("https://docs.google.com/open?id=0B5-iztf28QNJOHo0Y01Hc1NpUG8","Turbulence and Transport (TT) - Yuh - Reversed shear confinement with off-axis neutral beams")</f>
        <v>Turbulence and Transport (TT) - Yuh - Reversed shear confinement with off-axis neutral beams</v>
      </c>
      <c r="S147" s="20" t="s">
        <v>1762</v>
      </c>
      <c r="T147" s="13" t="s">
        <v>1763</v>
      </c>
      <c r="U147" s="18" t="s">
        <v>1764</v>
      </c>
      <c r="V147" s="19" t="str">
        <f>HYPERLINK("https://docs.google.com/open?id=0B5-iztf28QNJZkxETm1USGVsMVE","Turbulence and Transport (TT) - Yuh - Reversed shear confinement with off-axis neutral beams")</f>
        <v>Turbulence and Transport (TT) - Yuh - Reversed shear confinement with off-axis neutral beams</v>
      </c>
      <c r="W147" s="20" t="s">
        <v>1765</v>
      </c>
    </row>
    <row r="148">
      <c r="A148" s="17">
        <v>42055.63966685185</v>
      </c>
      <c r="B148" s="13" t="s">
        <v>1766</v>
      </c>
      <c r="C148" s="13" t="s">
        <v>1088</v>
      </c>
      <c r="D148" s="13" t="s">
        <v>1089</v>
      </c>
      <c r="E148" s="13" t="s">
        <v>1090</v>
      </c>
      <c r="F148" s="13" t="s">
        <v>1767</v>
      </c>
      <c r="G148" s="13" t="s">
        <v>28</v>
      </c>
      <c r="H148" s="13" t="s">
        <v>430</v>
      </c>
      <c r="I148" s="13" t="s">
        <v>580</v>
      </c>
      <c r="J148" s="13" t="s">
        <v>1116</v>
      </c>
      <c r="K148" s="13">
        <v>1.0</v>
      </c>
      <c r="L148" s="13">
        <v>0.0</v>
      </c>
      <c r="M148" s="13">
        <v>0.5</v>
      </c>
      <c r="N148" s="13" t="s">
        <v>1768</v>
      </c>
      <c r="O148" s="13" t="s">
        <v>47</v>
      </c>
      <c r="P148" s="13" t="s">
        <v>1769</v>
      </c>
      <c r="Q148" s="18" t="s">
        <v>1770</v>
      </c>
      <c r="R148" s="19" t="str">
        <f>HYPERLINK("https://docs.google.com/open?id=0B5-iztf28QNJU2xLWThqY2xnLTA","Divertor and Scrape-off-layer (DS) - Gray - Relaxation of the interchange instability and effect on SOL width with Li wall conditioning")</f>
        <v>Divertor and Scrape-off-layer (DS) - Gray - Relaxation of the interchange instability and effect on SOL width with Li wall conditioning</v>
      </c>
      <c r="S148" s="20" t="s">
        <v>1771</v>
      </c>
      <c r="T148" s="13" t="s">
        <v>1772</v>
      </c>
      <c r="U148" s="18" t="s">
        <v>1773</v>
      </c>
      <c r="V148" s="19" t="str">
        <f>HYPERLINK("https://docs.google.com/open?id=0B5-iztf28QNJb0xRWUdibHdWcjA","Divertor and Scrape-off-layer (DS) - Gray - Relaxation of the interchange instability and effect on SOL width with Li wall conditioning")</f>
        <v>Divertor and Scrape-off-layer (DS) - Gray - Relaxation of the interchange instability and effect on SOL width with Li wall conditioning</v>
      </c>
      <c r="W148" s="20" t="s">
        <v>1774</v>
      </c>
    </row>
    <row r="149">
      <c r="A149" s="17">
        <v>42055.64699690972</v>
      </c>
      <c r="B149" s="13" t="s">
        <v>1775</v>
      </c>
      <c r="C149" s="13" t="s">
        <v>266</v>
      </c>
      <c r="D149" s="13" t="s">
        <v>267</v>
      </c>
      <c r="E149" s="13" t="s">
        <v>268</v>
      </c>
      <c r="F149" s="13" t="s">
        <v>1776</v>
      </c>
      <c r="G149" s="13" t="s">
        <v>270</v>
      </c>
      <c r="H149" s="13" t="s">
        <v>271</v>
      </c>
      <c r="I149" s="13" t="s">
        <v>492</v>
      </c>
      <c r="J149" s="13" t="s">
        <v>31</v>
      </c>
      <c r="K149" s="13">
        <v>1.0</v>
      </c>
      <c r="L149" s="13">
        <v>0.0</v>
      </c>
      <c r="M149" s="13">
        <v>0.5</v>
      </c>
      <c r="N149" s="13" t="s">
        <v>1777</v>
      </c>
      <c r="O149" s="13" t="s">
        <v>1778</v>
      </c>
      <c r="P149" s="13" t="s">
        <v>1779</v>
      </c>
      <c r="Q149" s="18" t="s">
        <v>1780</v>
      </c>
      <c r="R149" s="19" t="str">
        <f>HYPERLINK("https://docs.google.com/open?id=0B5-iztf28QNJVW51RFg3ejZlTFU","Energetic Particles (EP) - Liu - Effects of 3D fields on fast ion confinement and fast ion driven instabilities")</f>
        <v>Energetic Particles (EP) - Liu - Effects of 3D fields on fast ion confinement and fast ion driven instabilities</v>
      </c>
      <c r="S149" s="20" t="s">
        <v>1781</v>
      </c>
      <c r="T149" s="13" t="s">
        <v>1782</v>
      </c>
      <c r="U149" s="18" t="s">
        <v>1783</v>
      </c>
      <c r="V149" s="19" t="str">
        <f>HYPERLINK("https://docs.google.com/open?id=0B5-iztf28QNJV3BmS1BtaU5aM1U","Energetic Particles (EP) - Liu - Effects of 3D fields on fast ion confinement and fast ion driven instabilities")</f>
        <v>Energetic Particles (EP) - Liu - Effects of 3D fields on fast ion confinement and fast ion driven instabilities</v>
      </c>
      <c r="W149" s="20" t="s">
        <v>1784</v>
      </c>
    </row>
    <row r="150">
      <c r="A150" s="17">
        <v>42055.6575471412</v>
      </c>
      <c r="B150" s="13" t="s">
        <v>1785</v>
      </c>
      <c r="C150" s="13" t="s">
        <v>1786</v>
      </c>
      <c r="D150" s="13" t="s">
        <v>1787</v>
      </c>
      <c r="E150" s="13" t="s">
        <v>1788</v>
      </c>
      <c r="F150" s="13" t="s">
        <v>1789</v>
      </c>
      <c r="G150" s="13" t="s">
        <v>28</v>
      </c>
      <c r="H150" s="13" t="s">
        <v>29</v>
      </c>
      <c r="I150" s="13" t="s">
        <v>955</v>
      </c>
      <c r="J150" s="13" t="s">
        <v>1790</v>
      </c>
      <c r="K150" s="13">
        <v>1.0</v>
      </c>
      <c r="L150" s="13">
        <v>0.5</v>
      </c>
      <c r="M150" s="13">
        <v>0.5</v>
      </c>
      <c r="N150" s="13" t="s">
        <v>1791</v>
      </c>
      <c r="O150" s="13" t="s">
        <v>1792</v>
      </c>
      <c r="P150" s="13" t="s">
        <v>1793</v>
      </c>
      <c r="Q150" s="18" t="s">
        <v>1794</v>
      </c>
      <c r="R150" s="19" t="str">
        <f>HYPERLINK("https://docs.google.com/open?id=0B5-iztf28QNJT3QwU1R0SXJWQmM","Materials and PFCs (MP) - Nichols - Comparison of material migration with Li vs. B coatings")</f>
        <v>Materials and PFCs (MP) - Nichols - Comparison of material migration with Li vs. B coatings</v>
      </c>
      <c r="S150" s="20" t="s">
        <v>1795</v>
      </c>
      <c r="T150" s="13" t="s">
        <v>1796</v>
      </c>
      <c r="U150" s="18" t="s">
        <v>1797</v>
      </c>
      <c r="V150" s="19" t="str">
        <f>HYPERLINK("https://docs.google.com/open?id=0B5-iztf28QNJb2NoRTBkSVBmN3M","Materials and PFCs (MP) - Nichols - Comparison of material migration with Li vs. B coatings")</f>
        <v>Materials and PFCs (MP) - Nichols - Comparison of material migration with Li vs. B coatings</v>
      </c>
      <c r="W150" s="20" t="s">
        <v>1798</v>
      </c>
    </row>
    <row r="151">
      <c r="A151" s="17">
        <v>42055.67569960649</v>
      </c>
      <c r="B151" s="13" t="s">
        <v>1799</v>
      </c>
      <c r="C151" s="13" t="s">
        <v>1800</v>
      </c>
      <c r="D151" s="13" t="s">
        <v>1801</v>
      </c>
      <c r="E151" s="13" t="s">
        <v>1802</v>
      </c>
      <c r="F151" s="13" t="s">
        <v>1803</v>
      </c>
      <c r="G151" s="13" t="s">
        <v>28</v>
      </c>
      <c r="H151" s="13" t="s">
        <v>1178</v>
      </c>
      <c r="I151" s="13" t="s">
        <v>955</v>
      </c>
      <c r="J151" s="13" t="s">
        <v>1804</v>
      </c>
      <c r="K151" s="13">
        <v>0.0</v>
      </c>
      <c r="L151" s="13">
        <v>0.0</v>
      </c>
      <c r="M151" s="13">
        <v>0.0</v>
      </c>
      <c r="N151" s="13" t="s">
        <v>1805</v>
      </c>
      <c r="O151" s="13" t="s">
        <v>1806</v>
      </c>
      <c r="P151" s="13" t="s">
        <v>1807</v>
      </c>
      <c r="Q151" s="18" t="s">
        <v>1808</v>
      </c>
      <c r="R151" s="19" t="str">
        <f>HYPERLINK("https://docs.google.com/open?id=0B5-iztf28QNJTEtTOEFPc3lsRzQ","Materials and PFCs (MP) - Koel - Surface Science")</f>
        <v>Materials and PFCs (MP) - Koel - Surface Science</v>
      </c>
      <c r="S151" s="20" t="s">
        <v>1809</v>
      </c>
      <c r="T151" s="13" t="s">
        <v>1810</v>
      </c>
      <c r="U151" s="18" t="s">
        <v>1811</v>
      </c>
      <c r="V151" s="19" t="str">
        <f>HYPERLINK("https://docs.google.com/open?id=0B5-iztf28QNJWmtGRmRONnR0cms","Materials and PFCs (MP) - Koel - Surface Science")</f>
        <v>Materials and PFCs (MP) - Koel - Surface Science</v>
      </c>
      <c r="W151" s="20" t="s">
        <v>1812</v>
      </c>
    </row>
    <row r="152">
      <c r="A152" s="17">
        <v>42055.67610280093</v>
      </c>
      <c r="B152" s="13" t="s">
        <v>1813</v>
      </c>
      <c r="C152" s="13" t="s">
        <v>1814</v>
      </c>
      <c r="D152" s="13" t="s">
        <v>1815</v>
      </c>
      <c r="E152" s="13" t="s">
        <v>1816</v>
      </c>
      <c r="F152" s="13" t="s">
        <v>1817</v>
      </c>
      <c r="G152" s="13" t="s">
        <v>28</v>
      </c>
      <c r="H152" s="13" t="s">
        <v>1427</v>
      </c>
      <c r="I152" s="13" t="s">
        <v>235</v>
      </c>
      <c r="J152" s="13" t="s">
        <v>1818</v>
      </c>
      <c r="K152" s="13">
        <v>1.0</v>
      </c>
      <c r="L152" s="13">
        <v>1.0</v>
      </c>
      <c r="M152" s="13">
        <v>0.5</v>
      </c>
      <c r="N152" s="13" t="s">
        <v>1819</v>
      </c>
      <c r="O152" s="13" t="s">
        <v>1430</v>
      </c>
      <c r="P152" s="13" t="s">
        <v>1820</v>
      </c>
      <c r="Q152" s="18" t="s">
        <v>1821</v>
      </c>
      <c r="R152" s="19" t="str">
        <f>HYPERLINK("https://docs.google.com/open?id=0B5-iztf28QNJYUQzMTB4c2xMdmM","Pedestal Structure and Control (PS) - Bongard - Multi-machine studies of the L-H power threshold dependence on aspect ratio")</f>
        <v>Pedestal Structure and Control (PS) - Bongard - Multi-machine studies of the L-H power threshold dependence on aspect ratio</v>
      </c>
      <c r="S152" s="20" t="s">
        <v>1822</v>
      </c>
      <c r="T152" s="13" t="s">
        <v>1823</v>
      </c>
      <c r="U152" s="18" t="s">
        <v>1824</v>
      </c>
      <c r="V152" s="19" t="str">
        <f>HYPERLINK("https://docs.google.com/open?id=0B5-iztf28QNJWnR3MExDcXhaXzQ","Pedestal Structure and Control (PS) - Bongard - Multi-machine studies of the L-H power threshold dependence on aspect ratio")</f>
        <v>Pedestal Structure and Control (PS) - Bongard - Multi-machine studies of the L-H power threshold dependence on aspect ratio</v>
      </c>
      <c r="W152" s="20" t="s">
        <v>1825</v>
      </c>
    </row>
    <row r="153">
      <c r="A153" s="17">
        <v>42055.67881515046</v>
      </c>
      <c r="B153" s="13" t="s">
        <v>1826</v>
      </c>
      <c r="C153" s="13" t="s">
        <v>1827</v>
      </c>
      <c r="D153" s="13" t="s">
        <v>1828</v>
      </c>
      <c r="E153" s="13" t="s">
        <v>1829</v>
      </c>
      <c r="F153" s="13" t="s">
        <v>1830</v>
      </c>
      <c r="G153" s="13" t="s">
        <v>28</v>
      </c>
      <c r="H153" s="13" t="s">
        <v>1831</v>
      </c>
      <c r="I153" s="13" t="s">
        <v>492</v>
      </c>
      <c r="J153" s="13" t="s">
        <v>1832</v>
      </c>
      <c r="K153" s="13">
        <v>1.0</v>
      </c>
      <c r="L153" s="13">
        <v>0.0</v>
      </c>
      <c r="M153" s="13">
        <v>0.5</v>
      </c>
      <c r="N153" s="13" t="s">
        <v>1833</v>
      </c>
      <c r="O153" s="13" t="s">
        <v>1834</v>
      </c>
      <c r="P153" s="13" t="s">
        <v>1835</v>
      </c>
      <c r="Q153" s="18" t="s">
        <v>1836</v>
      </c>
      <c r="R153" s="19" t="str">
        <f>HYPERLINK("https://docs.google.com/open?id=0B5-iztf28QNJemFuUFFqNGo4NGM","Energetic Particles (EP) - Boeglin - Fusion source profile measurement with the proton detector")</f>
        <v>Energetic Particles (EP) - Boeglin - Fusion source profile measurement with the proton detector</v>
      </c>
      <c r="S153" s="20" t="s">
        <v>1837</v>
      </c>
      <c r="T153" s="13" t="s">
        <v>1838</v>
      </c>
      <c r="U153" s="18" t="s">
        <v>1839</v>
      </c>
      <c r="V153" s="19" t="str">
        <f>HYPERLINK("https://docs.google.com/open?id=0B5-iztf28QNJa25BSWo0QTdTejA","Energetic Particles (EP) - Boeglin - Fusion source profile measurement with the proton detector")</f>
        <v>Energetic Particles (EP) - Boeglin - Fusion source profile measurement with the proton detector</v>
      </c>
      <c r="W153" s="20" t="s">
        <v>1840</v>
      </c>
    </row>
    <row r="154">
      <c r="A154" s="17">
        <v>42055.67895523148</v>
      </c>
      <c r="B154" s="13" t="s">
        <v>1841</v>
      </c>
      <c r="C154" s="13" t="s">
        <v>1842</v>
      </c>
      <c r="D154" s="13" t="s">
        <v>1843</v>
      </c>
      <c r="E154" s="13" t="s">
        <v>1844</v>
      </c>
      <c r="F154" s="13" t="s">
        <v>1845</v>
      </c>
      <c r="G154" s="13" t="s">
        <v>28</v>
      </c>
      <c r="H154" s="13" t="s">
        <v>29</v>
      </c>
      <c r="I154" s="13" t="s">
        <v>955</v>
      </c>
      <c r="J154" s="13" t="s">
        <v>47</v>
      </c>
      <c r="K154" s="13">
        <v>1.0</v>
      </c>
      <c r="L154" s="13">
        <v>1.0</v>
      </c>
      <c r="M154" s="13">
        <v>0.5</v>
      </c>
      <c r="N154" s="13" t="s">
        <v>1846</v>
      </c>
      <c r="O154" s="13" t="s">
        <v>1847</v>
      </c>
      <c r="P154" s="13" t="s">
        <v>1848</v>
      </c>
      <c r="Q154" s="18" t="s">
        <v>1849</v>
      </c>
      <c r="R154" s="19" t="str">
        <f>HYPERLINK("https://docs.google.com/open?id=0B5-iztf28QNJUVdJTTRXSVFvQms","Materials and PFCs (MP) - Skinner - Optimizing Boronization XMP")</f>
        <v>Materials and PFCs (MP) - Skinner - Optimizing Boronization XMP</v>
      </c>
      <c r="S154" s="20" t="s">
        <v>1850</v>
      </c>
      <c r="T154" s="13" t="s">
        <v>1851</v>
      </c>
      <c r="U154" s="18" t="s">
        <v>1852</v>
      </c>
      <c r="V154" s="19" t="str">
        <f>HYPERLINK("https://docs.google.com/open?id=0B5-iztf28QNJRFRwRGRPYmFfbjA","Materials and PFCs (MP) - Skinner - Optimizing Boronization XMP")</f>
        <v>Materials and PFCs (MP) - Skinner - Optimizing Boronization XMP</v>
      </c>
      <c r="W154" s="20" t="s">
        <v>1853</v>
      </c>
    </row>
    <row r="155">
      <c r="A155" s="17">
        <v>42055.68044355324</v>
      </c>
      <c r="B155" s="13" t="s">
        <v>1854</v>
      </c>
      <c r="C155" s="13" t="s">
        <v>1088</v>
      </c>
      <c r="D155" s="13" t="s">
        <v>1089</v>
      </c>
      <c r="E155" s="13" t="s">
        <v>1090</v>
      </c>
      <c r="F155" s="13" t="s">
        <v>1855</v>
      </c>
      <c r="G155" s="13" t="s">
        <v>28</v>
      </c>
      <c r="H155" s="13" t="s">
        <v>430</v>
      </c>
      <c r="I155" s="13" t="s">
        <v>580</v>
      </c>
      <c r="J155" s="13" t="s">
        <v>47</v>
      </c>
      <c r="K155" s="13">
        <v>2.0</v>
      </c>
      <c r="L155" s="13">
        <v>1.0</v>
      </c>
      <c r="M155" s="13">
        <v>1.0</v>
      </c>
      <c r="N155" s="13" t="s">
        <v>1856</v>
      </c>
      <c r="O155" s="13" t="s">
        <v>1857</v>
      </c>
      <c r="P155" s="13" t="s">
        <v>1858</v>
      </c>
      <c r="Q155" s="18" t="s">
        <v>1859</v>
      </c>
      <c r="R155" s="19" t="str">
        <f>HYPERLINK("https://docs.google.com/open?id=0B5-iztf28QNJblctUGJDamxzcEU","Divertor and Scrape-off-layer (DS) - Gray - Relationship between lambda_q, S and Connection Length")</f>
        <v>Divertor and Scrape-off-layer (DS) - Gray - Relationship between lambda_q, S and Connection Length</v>
      </c>
      <c r="S155" s="20" t="s">
        <v>1860</v>
      </c>
      <c r="T155" s="13" t="s">
        <v>1861</v>
      </c>
      <c r="U155" s="18" t="s">
        <v>1862</v>
      </c>
      <c r="V155" s="19" t="str">
        <f>HYPERLINK("https://docs.google.com/open?id=0B5-iztf28QNJcWhITVNwQk9Pc2M","Divertor and Scrape-off-layer (DS) - Gray - Relationship between lambda_q, S and Connection Length")</f>
        <v>Divertor and Scrape-off-layer (DS) - Gray - Relationship between lambda_q, S and Connection Length</v>
      </c>
      <c r="W155" s="20" t="s">
        <v>1863</v>
      </c>
    </row>
    <row r="156">
      <c r="A156" s="17">
        <v>42055.680459270836</v>
      </c>
      <c r="B156" s="13" t="s">
        <v>1864</v>
      </c>
      <c r="C156" s="13" t="s">
        <v>1603</v>
      </c>
      <c r="D156" s="13" t="s">
        <v>1589</v>
      </c>
      <c r="E156" s="13" t="s">
        <v>1590</v>
      </c>
      <c r="F156" s="13" t="s">
        <v>1604</v>
      </c>
      <c r="G156" s="13" t="s">
        <v>28</v>
      </c>
      <c r="H156" s="13" t="s">
        <v>1592</v>
      </c>
      <c r="I156" s="13" t="s">
        <v>580</v>
      </c>
      <c r="J156" s="13" t="s">
        <v>480</v>
      </c>
      <c r="K156" s="13">
        <v>1.0</v>
      </c>
      <c r="L156" s="13">
        <v>1.0</v>
      </c>
      <c r="M156" s="13">
        <v>1.0</v>
      </c>
      <c r="N156" s="13" t="s">
        <v>1865</v>
      </c>
      <c r="O156" s="13" t="s">
        <v>480</v>
      </c>
      <c r="P156" s="13" t="s">
        <v>1866</v>
      </c>
      <c r="Q156" s="18" t="s">
        <v>1867</v>
      </c>
      <c r="R156" s="19" t="str">
        <f>HYPERLINK("https://docs.google.com/open?id=0B5-iztf28QNJS3JGQnU5RWVwTHc","Divertor and Scrape-off-layer (DS) - Soukhanovskii - Boundary diagnostic-optimized configuration (BDOC) for model comparisons.")</f>
        <v>Divertor and Scrape-off-layer (DS) - Soukhanovskii - Boundary diagnostic-optimized configuration (BDOC) for model comparisons.</v>
      </c>
      <c r="S156" s="20" t="s">
        <v>1868</v>
      </c>
      <c r="T156" s="13" t="s">
        <v>1869</v>
      </c>
      <c r="U156" s="18" t="s">
        <v>1870</v>
      </c>
      <c r="V156" s="18" t="str">
        <f>HYPERLINK("https://docs.google.com/open?id=0B5-iztf28QNJa19md1l2R2E4MUU","Divertor and Scrape-off-layer (DS) - Soukhanovskii - Boundary diagnostic-optimized configuration (BDOC) for model comparisons.")</f>
        <v>Divertor and Scrape-off-layer (DS) - Soukhanovskii - Boundary diagnostic-optimized configuration (BDOC) for model comparisons.</v>
      </c>
      <c r="W156" s="20" t="s">
        <v>1871</v>
      </c>
    </row>
    <row r="157">
      <c r="A157" s="17">
        <v>42055.68086258102</v>
      </c>
      <c r="B157" s="13" t="s">
        <v>1872</v>
      </c>
      <c r="C157" s="13" t="s">
        <v>1842</v>
      </c>
      <c r="D157" s="13" t="s">
        <v>1843</v>
      </c>
      <c r="E157" s="13" t="s">
        <v>1844</v>
      </c>
      <c r="F157" s="13" t="s">
        <v>1873</v>
      </c>
      <c r="G157" s="13" t="s">
        <v>28</v>
      </c>
      <c r="H157" s="13" t="s">
        <v>29</v>
      </c>
      <c r="I157" s="13" t="s">
        <v>955</v>
      </c>
      <c r="J157" s="13" t="s">
        <v>1874</v>
      </c>
      <c r="K157" s="13">
        <v>0.0</v>
      </c>
      <c r="L157" s="13">
        <v>0.0</v>
      </c>
      <c r="M157" s="13">
        <v>1.0</v>
      </c>
      <c r="N157" s="13" t="s">
        <v>1875</v>
      </c>
      <c r="O157" s="13" t="s">
        <v>1876</v>
      </c>
      <c r="P157" s="13" t="s">
        <v>1877</v>
      </c>
      <c r="Q157" s="18" t="s">
        <v>1878</v>
      </c>
      <c r="R157" s="19" t="str">
        <f>HYPERLINK("https://docs.google.com/open?id=0B5-iztf28QNJSzVQX0trdk9IeUk","Materials and PFCs (MP) - Skinner - Textured Mo surface XMP")</f>
        <v>Materials and PFCs (MP) - Skinner - Textured Mo surface XMP</v>
      </c>
      <c r="S157" s="20" t="s">
        <v>1879</v>
      </c>
      <c r="T157" s="13" t="s">
        <v>1880</v>
      </c>
      <c r="U157" s="18" t="s">
        <v>1881</v>
      </c>
      <c r="V157" s="19" t="str">
        <f>HYPERLINK("https://docs.google.com/open?id=0B5-iztf28QNJSmlDRWUya2pvU3M","Materials and PFCs (MP) - Skinner - Textured Mo surface XMP")</f>
        <v>Materials and PFCs (MP) - Skinner - Textured Mo surface XMP</v>
      </c>
      <c r="W157" s="20" t="s">
        <v>1882</v>
      </c>
    </row>
    <row r="158">
      <c r="A158" s="17">
        <v>42055.681408703706</v>
      </c>
      <c r="B158" s="13" t="s">
        <v>1864</v>
      </c>
      <c r="C158" s="13" t="s">
        <v>1588</v>
      </c>
      <c r="D158" s="13" t="s">
        <v>1589</v>
      </c>
      <c r="E158" s="13" t="s">
        <v>1590</v>
      </c>
      <c r="F158" s="13" t="s">
        <v>1883</v>
      </c>
      <c r="G158" s="13" t="s">
        <v>28</v>
      </c>
      <c r="H158" s="13" t="s">
        <v>1592</v>
      </c>
      <c r="I158" s="13" t="s">
        <v>592</v>
      </c>
      <c r="J158" s="13" t="s">
        <v>480</v>
      </c>
      <c r="K158" s="13">
        <v>1.0</v>
      </c>
      <c r="L158" s="13">
        <v>1.0</v>
      </c>
      <c r="M158" s="13">
        <v>1.0</v>
      </c>
      <c r="N158" s="13" t="s">
        <v>1865</v>
      </c>
      <c r="O158" s="13" t="s">
        <v>480</v>
      </c>
      <c r="P158" s="13" t="s">
        <v>1884</v>
      </c>
      <c r="Q158" s="18" t="s">
        <v>1885</v>
      </c>
      <c r="R158" s="19" t="str">
        <f>HYPERLINK("https://docs.google.com/open?id=0B5-iztf28QNJRTY5ZGNnR3lDYUE","Particle Control Task Force (PC) - Soukhanovskii - Boundary diagnostic-optimized configuration (BDOC) for model comparisons.")</f>
        <v>Particle Control Task Force (PC) - Soukhanovskii - Boundary diagnostic-optimized configuration (BDOC) for model comparisons.</v>
      </c>
      <c r="S158" s="20" t="s">
        <v>1886</v>
      </c>
      <c r="T158" s="13" t="s">
        <v>1887</v>
      </c>
      <c r="U158" s="18" t="s">
        <v>1888</v>
      </c>
      <c r="V158" s="19" t="str">
        <f>HYPERLINK("https://docs.google.com/open?id=0B5-iztf28QNJMmI3RG5KT2JyNU0","Particle Control Task Force (PC) - Soukhanovskii - Boundary diagnostic-optimized configuration (BDOC) for model comparisons.")</f>
        <v>Particle Control Task Force (PC) - Soukhanovskii - Boundary diagnostic-optimized configuration (BDOC) for model comparisons.</v>
      </c>
      <c r="W158" s="20" t="s">
        <v>1889</v>
      </c>
    </row>
    <row r="159">
      <c r="A159" s="17">
        <v>42055.68305043982</v>
      </c>
      <c r="B159" s="13" t="s">
        <v>1864</v>
      </c>
      <c r="C159" s="13" t="s">
        <v>1603</v>
      </c>
      <c r="D159" s="13" t="s">
        <v>1589</v>
      </c>
      <c r="E159" s="13" t="s">
        <v>1590</v>
      </c>
      <c r="F159" s="13" t="s">
        <v>1883</v>
      </c>
      <c r="G159" s="13" t="s">
        <v>28</v>
      </c>
      <c r="H159" s="13" t="s">
        <v>1592</v>
      </c>
      <c r="I159" s="13" t="s">
        <v>955</v>
      </c>
      <c r="J159" s="13" t="s">
        <v>1890</v>
      </c>
      <c r="K159" s="13">
        <v>1.0</v>
      </c>
      <c r="L159" s="13">
        <v>1.0</v>
      </c>
      <c r="M159" s="13">
        <v>1.0</v>
      </c>
      <c r="N159" s="13" t="s">
        <v>1865</v>
      </c>
      <c r="O159" s="13" t="s">
        <v>480</v>
      </c>
      <c r="P159" s="13" t="s">
        <v>1891</v>
      </c>
      <c r="Q159" s="18" t="s">
        <v>1892</v>
      </c>
      <c r="R159" s="19" t="str">
        <f>HYPERLINK("https://docs.google.com/open?id=0B5-iztf28QNJY3BjN3M1REx1dEk","Materials and PFCs (MP) - Soukhanovskii - Boundary diagnostic-optimized configuration (BDOC) for model comparisons.")</f>
        <v>Materials and PFCs (MP) - Soukhanovskii - Boundary diagnostic-optimized configuration (BDOC) for model comparisons.</v>
      </c>
      <c r="S159" s="20" t="s">
        <v>1893</v>
      </c>
      <c r="T159" s="13" t="s">
        <v>1894</v>
      </c>
      <c r="U159" s="18" t="s">
        <v>1895</v>
      </c>
      <c r="V159" s="19" t="str">
        <f>HYPERLINK("https://docs.google.com/open?id=0B5-iztf28QNJTDF0dWctN1FYWjg","Materials and PFCs (MP) - Soukhanovskii - Boundary diagnostic-optimized configuration (BDOC) for model comparisons.")</f>
        <v>Materials and PFCs (MP) - Soukhanovskii - Boundary diagnostic-optimized configuration (BDOC) for model comparisons.</v>
      </c>
      <c r="W159" s="20" t="s">
        <v>1896</v>
      </c>
    </row>
    <row r="160">
      <c r="A160" s="17">
        <v>42055.686169988425</v>
      </c>
      <c r="B160" s="13" t="s">
        <v>1897</v>
      </c>
      <c r="C160" s="13" t="s">
        <v>1603</v>
      </c>
      <c r="D160" s="13" t="s">
        <v>1589</v>
      </c>
      <c r="E160" s="13" t="s">
        <v>1590</v>
      </c>
      <c r="F160" s="13" t="s">
        <v>1883</v>
      </c>
      <c r="G160" s="13" t="s">
        <v>28</v>
      </c>
      <c r="H160" s="13" t="s">
        <v>1592</v>
      </c>
      <c r="I160" s="13" t="s">
        <v>580</v>
      </c>
      <c r="J160" s="13" t="s">
        <v>236</v>
      </c>
      <c r="K160" s="13">
        <v>1.0</v>
      </c>
      <c r="L160" s="13">
        <v>1.0</v>
      </c>
      <c r="M160" s="13">
        <v>1.0</v>
      </c>
      <c r="N160" s="13" t="s">
        <v>1898</v>
      </c>
      <c r="O160" s="13" t="s">
        <v>480</v>
      </c>
      <c r="P160" s="13" t="s">
        <v>1899</v>
      </c>
      <c r="Q160" s="18" t="s">
        <v>1900</v>
      </c>
      <c r="R160" s="19" t="str">
        <f>HYPERLINK("https://docs.google.com/open?id=0B5-iztf28QNJRnVwSHRSMVhteGc","Divertor and Scrape-off-layer (DS) - Soukhanovskii - Initial NSTX-U edge characterization.")</f>
        <v>Divertor and Scrape-off-layer (DS) - Soukhanovskii - Initial NSTX-U edge characterization.</v>
      </c>
      <c r="S160" s="20" t="s">
        <v>1901</v>
      </c>
      <c r="T160" s="13" t="s">
        <v>1902</v>
      </c>
      <c r="U160" s="18" t="s">
        <v>1903</v>
      </c>
      <c r="V160" s="19" t="str">
        <f>HYPERLINK("https://docs.google.com/open?id=0B5-iztf28QNJUURfOV96TkRzem8","Divertor and Scrape-off-layer (DS) - Soukhanovskii - Initial NSTX-U edge characterization.")</f>
        <v>Divertor and Scrape-off-layer (DS) - Soukhanovskii - Initial NSTX-U edge characterization.</v>
      </c>
      <c r="W160" s="20" t="s">
        <v>1904</v>
      </c>
    </row>
    <row r="161">
      <c r="A161" s="17">
        <v>42055.69098380787</v>
      </c>
      <c r="B161" s="13" t="s">
        <v>1905</v>
      </c>
      <c r="C161" s="13" t="s">
        <v>1906</v>
      </c>
      <c r="D161" s="13" t="s">
        <v>1907</v>
      </c>
      <c r="E161" s="13" t="s">
        <v>1908</v>
      </c>
      <c r="F161" s="13" t="s">
        <v>1909</v>
      </c>
      <c r="G161" s="13" t="s">
        <v>28</v>
      </c>
      <c r="H161" s="13" t="s">
        <v>1592</v>
      </c>
      <c r="I161" s="13" t="s">
        <v>663</v>
      </c>
      <c r="J161" s="13" t="s">
        <v>664</v>
      </c>
      <c r="K161" s="13">
        <v>0.0</v>
      </c>
      <c r="L161" s="13">
        <v>0.0</v>
      </c>
      <c r="M161" s="13">
        <v>0.0</v>
      </c>
      <c r="N161" s="13" t="s">
        <v>1910</v>
      </c>
      <c r="O161" s="13" t="s">
        <v>1911</v>
      </c>
      <c r="P161" s="13" t="s">
        <v>1912</v>
      </c>
      <c r="Q161" s="18" t="s">
        <v>1913</v>
      </c>
      <c r="R161" s="19" t="str">
        <f>HYPERLINK("https://docs.google.com/open?id=0B5-iztf28QNJUTdESnVoOXpNTGM","Turbulence and Transport (TT) - Scotti - Characterization of intrinsic impurity transport in NBI-heated H-mode discharges")</f>
        <v>Turbulence and Transport (TT) - Scotti - Characterization of intrinsic impurity transport in NBI-heated H-mode discharges</v>
      </c>
      <c r="S161" s="20" t="s">
        <v>1914</v>
      </c>
      <c r="T161" s="13" t="s">
        <v>1915</v>
      </c>
      <c r="U161" s="18" t="s">
        <v>1916</v>
      </c>
      <c r="V161" s="19" t="str">
        <f>HYPERLINK("https://docs.google.com/open?id=0B5-iztf28QNJWFBESU4wX190eG8","Turbulence and Transport (TT) - Scotti - Characterization of intrinsic impurity transport in NBI-heated H-mode discharges")</f>
        <v>Turbulence and Transport (TT) - Scotti - Characterization of intrinsic impurity transport in NBI-heated H-mode discharges</v>
      </c>
      <c r="W161" s="20" t="s">
        <v>1917</v>
      </c>
    </row>
    <row r="162">
      <c r="A162" s="17">
        <v>42055.69498771991</v>
      </c>
      <c r="B162" s="13" t="s">
        <v>1918</v>
      </c>
      <c r="C162" s="13" t="s">
        <v>1919</v>
      </c>
      <c r="D162" s="13" t="s">
        <v>1052</v>
      </c>
      <c r="E162" s="13" t="s">
        <v>1053</v>
      </c>
      <c r="F162" s="13" t="s">
        <v>1920</v>
      </c>
      <c r="G162" s="13" t="s">
        <v>28</v>
      </c>
      <c r="H162" s="13" t="s">
        <v>29</v>
      </c>
      <c r="I162" s="13" t="s">
        <v>663</v>
      </c>
      <c r="J162" s="13" t="s">
        <v>1921</v>
      </c>
      <c r="K162" s="13">
        <v>1.0</v>
      </c>
      <c r="L162" s="13">
        <v>0.0</v>
      </c>
      <c r="M162" s="13">
        <v>0.5</v>
      </c>
      <c r="N162" s="13" t="s">
        <v>1922</v>
      </c>
      <c r="O162" s="13" t="s">
        <v>1923</v>
      </c>
      <c r="P162" s="13" t="s">
        <v>1924</v>
      </c>
      <c r="Q162" s="18" t="s">
        <v>1925</v>
      </c>
      <c r="R162" s="19" t="str">
        <f>HYPERLINK("https://docs.google.com/open?id=0B5-iztf28QNJX0xVTUM3bTFfeUU","Turbulence and Transport (TT) - Ren - Investigate effects of q profile to transport and turbulence in NSTX-U H-mode plasmas")</f>
        <v>Turbulence and Transport (TT) - Ren - Investigate effects of q profile to transport and turbulence in NSTX-U H-mode plasmas</v>
      </c>
      <c r="S162" s="20" t="s">
        <v>1926</v>
      </c>
      <c r="T162" s="13" t="s">
        <v>1927</v>
      </c>
      <c r="U162" s="18" t="s">
        <v>1928</v>
      </c>
      <c r="V162" s="19" t="str">
        <f>HYPERLINK("https://docs.google.com/open?id=0B5-iztf28QNJN2hmU2oycVZWVWM","Turbulence and Transport (TT) - Ren - Investigate effects of q profile on transport and turbulence in NSTX-U H-mode plasmas")</f>
        <v>Turbulence and Transport (TT) - Ren - Investigate effects of q profile on transport and turbulence in NSTX-U H-mode plasmas</v>
      </c>
      <c r="W162" s="20" t="s">
        <v>1929</v>
      </c>
    </row>
    <row r="163">
      <c r="A163" s="17">
        <v>42055.69608930556</v>
      </c>
      <c r="B163" s="13" t="s">
        <v>1930</v>
      </c>
      <c r="C163" s="13" t="s">
        <v>1906</v>
      </c>
      <c r="D163" s="13" t="s">
        <v>1907</v>
      </c>
      <c r="E163" s="13" t="s">
        <v>1908</v>
      </c>
      <c r="F163" s="13" t="s">
        <v>1931</v>
      </c>
      <c r="G163" s="13" t="s">
        <v>28</v>
      </c>
      <c r="H163" s="13" t="s">
        <v>1592</v>
      </c>
      <c r="I163" s="13" t="s">
        <v>592</v>
      </c>
      <c r="J163" s="13" t="s">
        <v>1932</v>
      </c>
      <c r="K163" s="13">
        <v>1.0</v>
      </c>
      <c r="L163" s="13">
        <v>0.0</v>
      </c>
      <c r="M163" s="13">
        <v>1.0</v>
      </c>
      <c r="N163" s="13" t="s">
        <v>1933</v>
      </c>
      <c r="O163" s="13" t="s">
        <v>1934</v>
      </c>
      <c r="P163" s="13" t="s">
        <v>1935</v>
      </c>
      <c r="Q163" s="18" t="s">
        <v>1936</v>
      </c>
      <c r="R163" s="19" t="str">
        <f>HYPERLINK("https://docs.google.com/open?id=0B5-iztf28QNJaktoN212TURoS0U","Particle Control Task Force (PC) - Scotti - Optimization of helium-dispersed lithium evaporation to understand role of PFCs without direct lithium evaporation")</f>
        <v>Particle Control Task Force (PC) - Scotti - Optimization of helium-dispersed lithium evaporation to understand role of PFCs without direct lithium evaporation</v>
      </c>
      <c r="S163" s="20" t="s">
        <v>1937</v>
      </c>
      <c r="T163" s="13" t="s">
        <v>1938</v>
      </c>
      <c r="U163" s="18" t="s">
        <v>1939</v>
      </c>
      <c r="V163" s="19" t="str">
        <f>HYPERLINK("https://docs.google.com/open?id=0B5-iztf28QNJNHpsSnozUU5NczQ","Particle Control Task Force (PC) - Scotti - Optimization of helium-dispersed lithium evaporation to understand role of PFCs without direct lithium evaporation")</f>
        <v>Particle Control Task Force (PC) - Scotti - Optimization of helium-dispersed lithium evaporation to understand role of PFCs without direct lithium evaporation</v>
      </c>
      <c r="W163" s="20" t="s">
        <v>1940</v>
      </c>
    </row>
    <row r="164">
      <c r="A164" s="17">
        <v>42055.69823353009</v>
      </c>
      <c r="B164" s="13" t="s">
        <v>1941</v>
      </c>
      <c r="C164" s="13" t="s">
        <v>1814</v>
      </c>
      <c r="D164" s="13" t="s">
        <v>297</v>
      </c>
      <c r="E164" s="13" t="s">
        <v>298</v>
      </c>
      <c r="F164" s="13" t="s">
        <v>1942</v>
      </c>
      <c r="G164" s="13" t="s">
        <v>28</v>
      </c>
      <c r="H164" s="13" t="s">
        <v>29</v>
      </c>
      <c r="I164" s="13" t="s">
        <v>955</v>
      </c>
      <c r="J164" s="13" t="s">
        <v>1943</v>
      </c>
      <c r="K164" s="13">
        <v>4.0</v>
      </c>
      <c r="L164" s="13">
        <v>2.0</v>
      </c>
      <c r="M164" s="13">
        <v>2.0</v>
      </c>
      <c r="N164" s="13" t="s">
        <v>1944</v>
      </c>
      <c r="O164" s="13" t="s">
        <v>1945</v>
      </c>
      <c r="P164" s="13" t="s">
        <v>1946</v>
      </c>
      <c r="Q164" s="18" t="s">
        <v>1947</v>
      </c>
      <c r="R164" s="19" t="str">
        <f>HYPERLINK("https://docs.google.com/open?id=0B5-iztf28QNJSmhMUDNuNTk5eUE","Materials and PFCs (MP) - Jaworski - Establish heat transmission pathways in high-Z reference shape")</f>
        <v>Materials and PFCs (MP) - Jaworski - Establish heat transmission pathways in high-Z reference shape</v>
      </c>
      <c r="S164" s="20" t="s">
        <v>1948</v>
      </c>
      <c r="T164" s="13" t="s">
        <v>1949</v>
      </c>
      <c r="U164" s="18" t="s">
        <v>1950</v>
      </c>
      <c r="V164" s="19" t="str">
        <f>HYPERLINK("https://docs.google.com/open?id=0B5-iztf28QNJdW0zZUVlSFJsT28","Materials and PFCs (MP) - Jaworski - Establish heat transmission pathways in high-Z reference shape")</f>
        <v>Materials and PFCs (MP) - Jaworski - Establish heat transmission pathways in high-Z reference shape</v>
      </c>
      <c r="W164" s="20" t="s">
        <v>1951</v>
      </c>
    </row>
    <row r="165">
      <c r="A165" s="17">
        <v>42055.69997706018</v>
      </c>
      <c r="B165" s="13" t="s">
        <v>1952</v>
      </c>
      <c r="C165" s="13" t="s">
        <v>1906</v>
      </c>
      <c r="D165" s="13" t="s">
        <v>1907</v>
      </c>
      <c r="E165" s="13" t="s">
        <v>1908</v>
      </c>
      <c r="F165" s="13" t="s">
        <v>1953</v>
      </c>
      <c r="G165" s="13" t="s">
        <v>28</v>
      </c>
      <c r="H165" s="13" t="s">
        <v>1592</v>
      </c>
      <c r="I165" s="13" t="s">
        <v>592</v>
      </c>
      <c r="J165" s="13" t="s">
        <v>1954</v>
      </c>
      <c r="K165" s="13">
        <v>0.0</v>
      </c>
      <c r="L165" s="13">
        <v>0.0</v>
      </c>
      <c r="M165" s="13">
        <v>0.0</v>
      </c>
      <c r="N165" s="13" t="s">
        <v>1955</v>
      </c>
      <c r="O165" s="13" t="s">
        <v>1956</v>
      </c>
      <c r="P165" s="13" t="s">
        <v>1957</v>
      </c>
      <c r="Q165" s="18" t="s">
        <v>1958</v>
      </c>
      <c r="R165" s="19" t="str">
        <f>HYPERLINK("https://docs.google.com/open?id=0B5-iztf28QNJN0pJR05BNGxITmM","Particle Control Task Force (PC) - Scotti - Characterization of carbon and lithium sources following first introduction of lithium in NSTX-U")</f>
        <v>Particle Control Task Force (PC) - Scotti - Characterization of carbon and lithium sources following first introduction of lithium in NSTX-U</v>
      </c>
      <c r="S165" s="20" t="s">
        <v>1959</v>
      </c>
      <c r="T165" s="13" t="s">
        <v>1960</v>
      </c>
      <c r="U165" s="18" t="s">
        <v>1961</v>
      </c>
      <c r="V165" s="19" t="str">
        <f>HYPERLINK("https://docs.google.com/open?id=0B5-iztf28QNJaTZSN21UcWRmV00","Particle Control Task Force (PC) - Scotti - Characterization of carbon and lithium sources following first introduction of lithium in NSTX-U")</f>
        <v>Particle Control Task Force (PC) - Scotti - Characterization of carbon and lithium sources following first introduction of lithium in NSTX-U</v>
      </c>
      <c r="W165" s="20" t="s">
        <v>1962</v>
      </c>
    </row>
    <row r="166">
      <c r="A166" s="17">
        <v>42055.702652569445</v>
      </c>
      <c r="B166" s="13" t="s">
        <v>1963</v>
      </c>
      <c r="C166" s="13" t="s">
        <v>1906</v>
      </c>
      <c r="D166" s="13" t="s">
        <v>1907</v>
      </c>
      <c r="E166" s="13" t="s">
        <v>1908</v>
      </c>
      <c r="F166" s="13" t="s">
        <v>1953</v>
      </c>
      <c r="G166" s="13" t="s">
        <v>28</v>
      </c>
      <c r="H166" s="13" t="s">
        <v>1592</v>
      </c>
      <c r="I166" s="13" t="s">
        <v>955</v>
      </c>
      <c r="J166" s="13" t="s">
        <v>1954</v>
      </c>
      <c r="K166" s="13">
        <v>2.0</v>
      </c>
      <c r="L166" s="13">
        <v>0.0</v>
      </c>
      <c r="M166" s="13">
        <v>1.5</v>
      </c>
      <c r="N166" s="13" t="s">
        <v>1964</v>
      </c>
      <c r="O166" s="13" t="s">
        <v>1965</v>
      </c>
      <c r="P166" s="13" t="s">
        <v>1966</v>
      </c>
      <c r="Q166" s="18" t="s">
        <v>1967</v>
      </c>
      <c r="R166" s="19" t="str">
        <f>HYPERLINK("https://docs.google.com/open?id=0B5-iztf28QNJRU9DZEsxOWJqc0E","Materials and PFCs (MP) - Scotti - Understanding the longevity of lithium coatings in NSTX-U")</f>
        <v>Materials and PFCs (MP) - Scotti - Understanding the longevity of lithium coatings in NSTX-U</v>
      </c>
      <c r="S166" s="20" t="s">
        <v>1968</v>
      </c>
      <c r="T166" s="13" t="s">
        <v>1969</v>
      </c>
      <c r="U166" s="18" t="s">
        <v>1970</v>
      </c>
      <c r="V166" s="19" t="str">
        <f>HYPERLINK("https://docs.google.com/open?id=0B5-iztf28QNJZFZST2tvSnB3ckE","Materials and PFCs (MP) - Scotti - Understanding the longevity of lithium coatings in NSTX-U")</f>
        <v>Materials and PFCs (MP) - Scotti - Understanding the longevity of lithium coatings in NSTX-U</v>
      </c>
      <c r="W166" s="20" t="s">
        <v>1971</v>
      </c>
    </row>
    <row r="167">
      <c r="A167" s="17">
        <v>42055.703680810184</v>
      </c>
      <c r="B167" s="13" t="s">
        <v>1972</v>
      </c>
      <c r="C167" s="13" t="s">
        <v>1973</v>
      </c>
      <c r="D167" s="13" t="s">
        <v>1089</v>
      </c>
      <c r="E167" s="13" t="s">
        <v>1090</v>
      </c>
      <c r="F167" s="13" t="s">
        <v>1974</v>
      </c>
      <c r="G167" s="13" t="s">
        <v>28</v>
      </c>
      <c r="H167" s="13" t="s">
        <v>430</v>
      </c>
      <c r="I167" s="13" t="s">
        <v>580</v>
      </c>
      <c r="J167" s="13" t="s">
        <v>47</v>
      </c>
      <c r="K167" s="13">
        <v>3.0</v>
      </c>
      <c r="L167" s="13">
        <v>1.0</v>
      </c>
      <c r="M167" s="13">
        <v>2.0</v>
      </c>
      <c r="N167" s="13" t="s">
        <v>1975</v>
      </c>
      <c r="O167" s="13" t="s">
        <v>47</v>
      </c>
      <c r="P167" s="13" t="s">
        <v>1976</v>
      </c>
      <c r="Q167" s="18" t="s">
        <v>1977</v>
      </c>
      <c r="R167" s="19" t="str">
        <f>HYPERLINK("https://docs.google.com/open?id=0B5-iztf28QNJVmFhRFlEV3hMdVU","Divertor and Scrape-off-layer (DS) - Gray - Effect of Lithium on SOL Power Balance")</f>
        <v>Divertor and Scrape-off-layer (DS) - Gray - Effect of Lithium on SOL Power Balance</v>
      </c>
      <c r="S167" s="20" t="s">
        <v>1978</v>
      </c>
      <c r="T167" s="13" t="s">
        <v>1979</v>
      </c>
      <c r="U167" s="18" t="s">
        <v>1980</v>
      </c>
      <c r="V167" s="19" t="str">
        <f>HYPERLINK("https://docs.google.com/open?id=0B5-iztf28QNJMUNRZDFQWU1Fc2M","Divertor and Scrape-off-layer (DS) - Gray - Effect of Lithium on SOL Power Balance")</f>
        <v>Divertor and Scrape-off-layer (DS) - Gray - Effect of Lithium on SOL Power Balance</v>
      </c>
      <c r="W167" s="20" t="s">
        <v>1981</v>
      </c>
    </row>
    <row r="168">
      <c r="A168" s="17">
        <v>42055.71824456018</v>
      </c>
      <c r="B168" s="13" t="s">
        <v>1982</v>
      </c>
      <c r="C168" s="13" t="s">
        <v>1983</v>
      </c>
      <c r="D168" s="13" t="s">
        <v>1984</v>
      </c>
      <c r="E168" s="13" t="s">
        <v>1985</v>
      </c>
      <c r="F168" s="13" t="s">
        <v>1986</v>
      </c>
      <c r="G168" s="13" t="s">
        <v>28</v>
      </c>
      <c r="H168" s="13" t="s">
        <v>29</v>
      </c>
      <c r="I168" s="13" t="s">
        <v>492</v>
      </c>
      <c r="J168" s="13" t="s">
        <v>47</v>
      </c>
      <c r="K168" s="13">
        <v>1.0</v>
      </c>
      <c r="L168" s="13">
        <v>0.0</v>
      </c>
      <c r="M168" s="13">
        <v>0.5</v>
      </c>
      <c r="N168" s="13" t="s">
        <v>1987</v>
      </c>
      <c r="O168" s="13" t="s">
        <v>1988</v>
      </c>
      <c r="P168" s="13" t="s">
        <v>1989</v>
      </c>
      <c r="Q168" s="18" t="s">
        <v>1990</v>
      </c>
      <c r="R168" s="19" t="str">
        <f>HYPERLINK("https://docs.google.com/open?id=0B5-iztf28QNJcVE5OXJEaEQ5Mk0","Energetic Particles (EP) - Bortolon - AE damping rates in 3D perturbed equilibria")</f>
        <v>Energetic Particles (EP) - Bortolon - AE damping rates in 3D perturbed equilibria</v>
      </c>
      <c r="S168" s="20" t="s">
        <v>1991</v>
      </c>
      <c r="T168" s="13" t="s">
        <v>1992</v>
      </c>
      <c r="U168" s="18" t="s">
        <v>1993</v>
      </c>
      <c r="V168" s="19" t="str">
        <f>HYPERLINK("https://docs.google.com/open?id=0B5-iztf28QNJWktQMzVZS0x2RDg","Energetic Particles (EP) - Bortolon - AE damping rates in 3D perturbed equilibria")</f>
        <v>Energetic Particles (EP) - Bortolon - AE damping rates in 3D perturbed equilibria</v>
      </c>
      <c r="W168" s="20" t="s">
        <v>1994</v>
      </c>
    </row>
    <row r="169">
      <c r="A169" s="17">
        <v>42055.719874699076</v>
      </c>
      <c r="B169" s="13" t="s">
        <v>1995</v>
      </c>
      <c r="C169" s="13" t="s">
        <v>1996</v>
      </c>
      <c r="D169" s="13" t="s">
        <v>1997</v>
      </c>
      <c r="E169" s="13" t="s">
        <v>1998</v>
      </c>
      <c r="F169" s="13" t="s">
        <v>47</v>
      </c>
      <c r="G169" s="13" t="s">
        <v>28</v>
      </c>
      <c r="H169" s="13" t="s">
        <v>1999</v>
      </c>
      <c r="I169" s="13" t="s">
        <v>169</v>
      </c>
      <c r="J169" s="13" t="s">
        <v>2000</v>
      </c>
      <c r="K169" s="13">
        <v>1.0</v>
      </c>
      <c r="L169" s="13">
        <v>0.0</v>
      </c>
      <c r="M169" s="13">
        <v>0.5</v>
      </c>
      <c r="N169" s="13" t="s">
        <v>2001</v>
      </c>
      <c r="O169" s="13" t="s">
        <v>47</v>
      </c>
      <c r="P169" s="13" t="s">
        <v>2002</v>
      </c>
      <c r="Q169" s="18" t="s">
        <v>2003</v>
      </c>
      <c r="R169" s="19" t="str">
        <f>HYPERLINK("https://docs.google.com/open?id=0B5-iztf28QNJTnVTVVVMVjFyb28","Macroscopic Stability (MS) - Izzo - Measure effect of extrinsic asymmetry (poloidal location of injector) on VDE mitigation")</f>
        <v>Macroscopic Stability (MS) - Izzo - Measure effect of extrinsic asymmetry (poloidal location of injector) on VDE mitigation</v>
      </c>
      <c r="S169" s="20" t="s">
        <v>2004</v>
      </c>
      <c r="T169" s="13" t="s">
        <v>2005</v>
      </c>
      <c r="U169" s="18" t="s">
        <v>2006</v>
      </c>
      <c r="V169" s="19" t="str">
        <f>HYPERLINK("https://docs.google.com/open?id=0B5-iztf28QNJNnctWGRzeVpXYlE","Macroscopic Stability (MS) - Izzo - Measure effect of extrinsic asymmetry (poloidal location of injector) on VDE mitigation")</f>
        <v>Macroscopic Stability (MS) - Izzo - Measure effect of extrinsic asymmetry (poloidal location of injector) on VDE mitigation</v>
      </c>
      <c r="W169" s="20" t="s">
        <v>2007</v>
      </c>
    </row>
    <row r="170">
      <c r="A170" s="17">
        <v>42055.720424085644</v>
      </c>
      <c r="B170" s="13" t="s">
        <v>2008</v>
      </c>
      <c r="C170" s="13" t="s">
        <v>1603</v>
      </c>
      <c r="D170" s="13" t="s">
        <v>1589</v>
      </c>
      <c r="E170" s="13" t="s">
        <v>1590</v>
      </c>
      <c r="F170" s="13" t="s">
        <v>2009</v>
      </c>
      <c r="G170" s="13" t="s">
        <v>28</v>
      </c>
      <c r="H170" s="13" t="s">
        <v>1592</v>
      </c>
      <c r="I170" s="13" t="s">
        <v>580</v>
      </c>
      <c r="J170" s="13" t="s">
        <v>2010</v>
      </c>
      <c r="K170" s="13">
        <v>1.0</v>
      </c>
      <c r="L170" s="13">
        <v>0.0</v>
      </c>
      <c r="M170" s="13">
        <v>1.0</v>
      </c>
      <c r="N170" s="13" t="s">
        <v>2011</v>
      </c>
      <c r="O170" s="13" t="s">
        <v>480</v>
      </c>
      <c r="P170" s="13" t="s">
        <v>2012</v>
      </c>
      <c r="Q170" s="18" t="s">
        <v>2013</v>
      </c>
      <c r="R170" s="19" t="str">
        <f>HYPERLINK("https://docs.google.com/open?id=0B5-iztf28QNJaTVGWkx2enhPRFk","Divertor and Scrape-off-layer (DS) - Soukhanovskii - Transport and radiation in the high flux expansion divertor configuration with cusp-like fields.")</f>
        <v>Divertor and Scrape-off-layer (DS) - Soukhanovskii - Transport and radiation in the high flux expansion divertor configuration with cusp-like fields.</v>
      </c>
      <c r="S170" s="20" t="s">
        <v>2014</v>
      </c>
      <c r="T170" s="13" t="s">
        <v>2015</v>
      </c>
      <c r="U170" s="18" t="s">
        <v>2016</v>
      </c>
      <c r="V170" s="19" t="str">
        <f>HYPERLINK("https://docs.google.com/open?id=0B5-iztf28QNJczdqQklKN0Q1UGs","Divertor and Scrape-off-layer (DS) - Soukhanovskii - Transport and radiation in the high flux expansion divertor configuration with cusp-like fields.")</f>
        <v>Divertor and Scrape-off-layer (DS) - Soukhanovskii - Transport and radiation in the high flux expansion divertor configuration with cusp-like fields.</v>
      </c>
      <c r="W170" s="20" t="s">
        <v>2017</v>
      </c>
    </row>
    <row r="171">
      <c r="A171" s="17">
        <v>42055.72087006945</v>
      </c>
      <c r="B171" s="13" t="s">
        <v>2018</v>
      </c>
      <c r="C171" s="13" t="s">
        <v>1906</v>
      </c>
      <c r="D171" s="13" t="s">
        <v>1907</v>
      </c>
      <c r="E171" s="13" t="s">
        <v>1908</v>
      </c>
      <c r="F171" s="13" t="s">
        <v>2019</v>
      </c>
      <c r="G171" s="13" t="s">
        <v>28</v>
      </c>
      <c r="H171" s="13" t="s">
        <v>1592</v>
      </c>
      <c r="I171" s="13" t="s">
        <v>955</v>
      </c>
      <c r="J171" s="13" t="s">
        <v>1954</v>
      </c>
      <c r="K171" s="13">
        <v>0.0</v>
      </c>
      <c r="L171" s="13">
        <v>0.0</v>
      </c>
      <c r="M171" s="13">
        <v>0.0</v>
      </c>
      <c r="N171" s="13" t="s">
        <v>2020</v>
      </c>
      <c r="O171" s="13" t="s">
        <v>47</v>
      </c>
      <c r="P171" s="13" t="s">
        <v>2021</v>
      </c>
      <c r="Q171" s="18" t="s">
        <v>2022</v>
      </c>
      <c r="R171" s="19" t="str">
        <f>HYPERLINK("https://docs.google.com/open?id=0B5-iztf28QNJVDhRN1VVME93cTQ","Materials and PFCs (MP) - Scotti - Connecting MAPP measurements to the PFC conditions at the outer strike point")</f>
        <v>Materials and PFCs (MP) - Scotti - Connecting MAPP measurements to the PFC conditions at the outer strike point</v>
      </c>
      <c r="S171" s="20" t="s">
        <v>2023</v>
      </c>
      <c r="T171" s="13" t="s">
        <v>2024</v>
      </c>
      <c r="U171" s="18" t="s">
        <v>2025</v>
      </c>
      <c r="V171" s="19" t="str">
        <f>HYPERLINK("https://docs.google.com/open?id=0B5-iztf28QNJa3R4aHNVMkVvcEE","Materials and PFCs (MP) - Scotti - Connecting MAPP measurements to the PFC conditions at the outer strike point")</f>
        <v>Materials and PFCs (MP) - Scotti - Connecting MAPP measurements to the PFC conditions at the outer strike point</v>
      </c>
      <c r="W171" s="20" t="s">
        <v>2026</v>
      </c>
    </row>
    <row r="172">
      <c r="A172" s="17">
        <v>42055.721738796296</v>
      </c>
      <c r="B172" s="13" t="s">
        <v>2027</v>
      </c>
      <c r="C172" s="13" t="s">
        <v>1996</v>
      </c>
      <c r="D172" s="13" t="s">
        <v>1997</v>
      </c>
      <c r="E172" s="13" t="s">
        <v>1998</v>
      </c>
      <c r="F172" s="13" t="s">
        <v>47</v>
      </c>
      <c r="G172" s="13" t="s">
        <v>28</v>
      </c>
      <c r="H172" s="13" t="s">
        <v>1999</v>
      </c>
      <c r="I172" s="13" t="s">
        <v>169</v>
      </c>
      <c r="J172" s="13" t="s">
        <v>2000</v>
      </c>
      <c r="K172" s="13">
        <v>1.0</v>
      </c>
      <c r="L172" s="13">
        <v>0.0</v>
      </c>
      <c r="M172" s="13">
        <v>0.5</v>
      </c>
      <c r="N172" s="13" t="s">
        <v>2028</v>
      </c>
      <c r="O172" s="13" t="s">
        <v>197</v>
      </c>
      <c r="P172" s="13" t="s">
        <v>2029</v>
      </c>
      <c r="Q172" s="18" t="s">
        <v>2030</v>
      </c>
      <c r="R172" s="19" t="str">
        <f>HYPERLINK("https://docs.google.com/open?id=0B5-iztf28QNJNUVnMG5TYS1jQlk","Macroscopic Stability (MS) - Izzo - Study 3D and 0D aspects of locked mode mitigation")</f>
        <v>Macroscopic Stability (MS) - Izzo - Study 3D and 0D aspects of locked mode mitigation</v>
      </c>
      <c r="S172" s="20" t="s">
        <v>2031</v>
      </c>
      <c r="T172" s="13" t="s">
        <v>2032</v>
      </c>
      <c r="U172" s="18" t="s">
        <v>2033</v>
      </c>
      <c r="V172" s="19" t="str">
        <f>HYPERLINK("https://docs.google.com/open?id=0B5-iztf28QNJbmJKZnR0OGw2b0E","Macroscopic Stability (MS) - Izzo - Study 3D and 0D aspects of locked mode mitigation")</f>
        <v>Macroscopic Stability (MS) - Izzo - Study 3D and 0D aspects of locked mode mitigation</v>
      </c>
      <c r="W172" s="20" t="s">
        <v>2034</v>
      </c>
    </row>
    <row r="173">
      <c r="A173" s="17">
        <v>42055.723647303246</v>
      </c>
      <c r="B173" s="13" t="s">
        <v>2035</v>
      </c>
      <c r="C173" s="13" t="s">
        <v>1906</v>
      </c>
      <c r="D173" s="13" t="s">
        <v>1907</v>
      </c>
      <c r="E173" s="13" t="s">
        <v>1908</v>
      </c>
      <c r="F173" s="13" t="s">
        <v>2036</v>
      </c>
      <c r="G173" s="13" t="s">
        <v>28</v>
      </c>
      <c r="H173" s="13" t="s">
        <v>1592</v>
      </c>
      <c r="I173" s="13" t="s">
        <v>955</v>
      </c>
      <c r="J173" s="13" t="s">
        <v>1954</v>
      </c>
      <c r="K173" s="13">
        <v>0.0</v>
      </c>
      <c r="L173" s="13">
        <v>0.0</v>
      </c>
      <c r="M173" s="13">
        <v>0.0</v>
      </c>
      <c r="N173" s="13" t="s">
        <v>2037</v>
      </c>
      <c r="O173" s="13" t="s">
        <v>2038</v>
      </c>
      <c r="P173" s="13" t="s">
        <v>2039</v>
      </c>
      <c r="Q173" s="18" t="s">
        <v>2040</v>
      </c>
      <c r="R173" s="19" t="str">
        <f>HYPERLINK("https://docs.google.com/open?id=0B5-iztf28QNJMndhMjZXNWxBakU","Materials and PFCs (MP) - Scotti - Periodic evaluation of PFC conditions during run campaign: lithium intercalation and XPS survey of elemental composition")</f>
        <v>Materials and PFCs (MP) - Scotti - Periodic evaluation of PFC conditions during run campaign: lithium intercalation and XPS survey of elemental composition</v>
      </c>
      <c r="S173" s="20" t="s">
        <v>2041</v>
      </c>
      <c r="T173" s="13" t="s">
        <v>2042</v>
      </c>
      <c r="U173" s="18" t="s">
        <v>2043</v>
      </c>
      <c r="V173" s="19" t="str">
        <f>HYPERLINK("https://docs.google.com/open?id=0B5-iztf28QNJUzRqZUlLXzNRYlU","Materials and PFCs (MP) - Scotti - Periodic evaluation of PFC conditions during run campaign: lithium intercalation and XPS survey of elemental composition")</f>
        <v>Materials and PFCs (MP) - Scotti - Periodic evaluation of PFC conditions during run campaign: lithium intercalation and XPS survey of elemental composition</v>
      </c>
      <c r="W173" s="20" t="s">
        <v>2044</v>
      </c>
    </row>
    <row r="174">
      <c r="A174" s="17">
        <v>42055.76196560185</v>
      </c>
      <c r="B174" s="13" t="s">
        <v>2045</v>
      </c>
      <c r="C174" s="13" t="s">
        <v>2046</v>
      </c>
      <c r="D174" s="13" t="s">
        <v>2047</v>
      </c>
      <c r="E174" s="13" t="s">
        <v>2048</v>
      </c>
      <c r="F174" s="13" t="s">
        <v>47</v>
      </c>
      <c r="G174" s="13" t="s">
        <v>28</v>
      </c>
      <c r="H174" s="13" t="s">
        <v>168</v>
      </c>
      <c r="I174" s="13" t="s">
        <v>169</v>
      </c>
      <c r="J174" s="13" t="s">
        <v>31</v>
      </c>
      <c r="K174" s="13">
        <v>0.5</v>
      </c>
      <c r="L174" s="13">
        <v>0.0</v>
      </c>
      <c r="M174" s="13">
        <v>0.25</v>
      </c>
      <c r="N174" s="13" t="s">
        <v>2049</v>
      </c>
      <c r="O174" s="13" t="s">
        <v>2050</v>
      </c>
      <c r="P174" s="13" t="s">
        <v>2051</v>
      </c>
      <c r="Q174" s="18" t="s">
        <v>2052</v>
      </c>
      <c r="R174" s="19" t="str">
        <f>HYPERLINK("https://docs.google.com/open?id=0B5-iztf28QNJWERwblpOVTdIR0k","Macroscopic Stability (MS) - Eidietis - Using private flux MGI as super-radiative divertor for disruption mitigation")</f>
        <v>Macroscopic Stability (MS) - Eidietis - Using private flux MGI as super-radiative divertor for disruption mitigation</v>
      </c>
      <c r="S174" s="20" t="s">
        <v>2053</v>
      </c>
      <c r="T174" s="13" t="s">
        <v>2054</v>
      </c>
      <c r="U174" s="18" t="s">
        <v>2055</v>
      </c>
      <c r="V174" s="19" t="str">
        <f>HYPERLINK("https://docs.google.com/open?id=0B5-iztf28QNJR01LcXBUVFRmdXM","Macroscopic Stability (MS) - Eidietis - Using private flux MGI as super-radiative divertor for disruption mitigation")</f>
        <v>Macroscopic Stability (MS) - Eidietis - Using private flux MGI as super-radiative divertor for disruption mitigation</v>
      </c>
      <c r="W174" s="20" t="s">
        <v>2056</v>
      </c>
    </row>
    <row r="175">
      <c r="A175" s="17">
        <v>42055.76642792825</v>
      </c>
      <c r="B175" s="13" t="s">
        <v>2057</v>
      </c>
      <c r="C175" s="13" t="s">
        <v>2058</v>
      </c>
      <c r="D175" s="13" t="s">
        <v>2047</v>
      </c>
      <c r="E175" s="13" t="s">
        <v>2048</v>
      </c>
      <c r="F175" s="13" t="s">
        <v>47</v>
      </c>
      <c r="G175" s="13" t="s">
        <v>28</v>
      </c>
      <c r="H175" s="13" t="s">
        <v>168</v>
      </c>
      <c r="I175" s="13" t="s">
        <v>169</v>
      </c>
      <c r="J175" s="13" t="s">
        <v>47</v>
      </c>
      <c r="K175" s="13">
        <v>0.5</v>
      </c>
      <c r="L175" s="13">
        <v>0.0</v>
      </c>
      <c r="M175" s="13">
        <v>0.25</v>
      </c>
      <c r="N175" s="13" t="s">
        <v>2059</v>
      </c>
      <c r="O175" s="13" t="s">
        <v>2060</v>
      </c>
      <c r="P175" s="13" t="s">
        <v>2061</v>
      </c>
      <c r="Q175" s="18" t="s">
        <v>2062</v>
      </c>
      <c r="R175" s="19" t="str">
        <f>HYPERLINK("https://docs.google.com/open?id=0B5-iztf28QNJNEJmQ1c1TVp6SDA","Macroscopic Stability (MS) - Eidietis - Effect of snowflake on divertor heat flux during disruption")</f>
        <v>Macroscopic Stability (MS) - Eidietis - Effect of snowflake on divertor heat flux during disruption</v>
      </c>
      <c r="S175" s="20" t="s">
        <v>2063</v>
      </c>
      <c r="T175" s="13" t="s">
        <v>2064</v>
      </c>
      <c r="U175" s="18" t="s">
        <v>2065</v>
      </c>
      <c r="V175" s="19" t="str">
        <f>HYPERLINK("https://docs.google.com/open?id=0B5-iztf28QNJZG1SWXFyMTlpWm8","Macroscopic Stability (MS) - Eidietis - Effect of snowflake on divertor heat flux during disruption")</f>
        <v>Macroscopic Stability (MS) - Eidietis - Effect of snowflake on divertor heat flux during disruption</v>
      </c>
      <c r="W175" s="20" t="s">
        <v>2066</v>
      </c>
    </row>
    <row r="176">
      <c r="A176" s="17">
        <v>42055.794473541675</v>
      </c>
      <c r="B176" s="13" t="s">
        <v>2067</v>
      </c>
      <c r="C176" s="13" t="s">
        <v>2068</v>
      </c>
      <c r="D176" s="13" t="s">
        <v>2069</v>
      </c>
      <c r="E176" s="13" t="s">
        <v>2070</v>
      </c>
      <c r="F176" s="13" t="s">
        <v>2071</v>
      </c>
      <c r="G176" s="13" t="s">
        <v>28</v>
      </c>
      <c r="H176" s="13" t="s">
        <v>1427</v>
      </c>
      <c r="I176" s="13" t="s">
        <v>663</v>
      </c>
      <c r="J176" s="13" t="s">
        <v>1605</v>
      </c>
      <c r="K176" s="13">
        <v>1.0</v>
      </c>
      <c r="L176" s="13">
        <v>0.0</v>
      </c>
      <c r="M176" s="13">
        <v>0.5</v>
      </c>
      <c r="N176" s="13" t="s">
        <v>2072</v>
      </c>
      <c r="O176" s="13" t="s">
        <v>2073</v>
      </c>
      <c r="P176" s="13" t="s">
        <v>2074</v>
      </c>
      <c r="Q176" s="18" t="s">
        <v>2075</v>
      </c>
      <c r="R176" s="19" t="str">
        <f>HYPERLINK("https://docs.google.com/open?id=0B5-iztf28QNJMExwQUpVR1pjajg","Turbulence and Transport (TT) - McKee - Impact of 3D radial field perturbations on turbulence, transport and ELMs")</f>
        <v>Turbulence and Transport (TT) - McKee - Impact of 3D radial field perturbations on turbulence, transport and ELMs</v>
      </c>
      <c r="S176" s="20" t="s">
        <v>2076</v>
      </c>
      <c r="T176" s="13" t="s">
        <v>2077</v>
      </c>
      <c r="U176" s="18" t="s">
        <v>2078</v>
      </c>
      <c r="V176" s="19" t="str">
        <f>HYPERLINK("https://docs.google.com/open?id=0B5-iztf28QNJZHgzZGVqczZHMWs","Turbulence and Transport (TT) - McKee - Impact of 3D radial field perturbations on turbulence, transport and ELMs")</f>
        <v>Turbulence and Transport (TT) - McKee - Impact of 3D radial field perturbations on turbulence, transport and ELMs</v>
      </c>
      <c r="W176" s="20" t="s">
        <v>2079</v>
      </c>
    </row>
    <row r="177">
      <c r="A177" s="17">
        <v>42055.801463206015</v>
      </c>
      <c r="B177" s="13" t="s">
        <v>2080</v>
      </c>
      <c r="C177" s="13" t="s">
        <v>2068</v>
      </c>
      <c r="D177" s="13" t="s">
        <v>2069</v>
      </c>
      <c r="E177" s="13" t="s">
        <v>2070</v>
      </c>
      <c r="F177" s="13" t="s">
        <v>2071</v>
      </c>
      <c r="G177" s="13" t="s">
        <v>28</v>
      </c>
      <c r="H177" s="13" t="s">
        <v>1427</v>
      </c>
      <c r="I177" s="13" t="s">
        <v>235</v>
      </c>
      <c r="J177" s="13" t="s">
        <v>1605</v>
      </c>
      <c r="K177" s="13">
        <v>2.0</v>
      </c>
      <c r="L177" s="13">
        <v>0.0</v>
      </c>
      <c r="M177" s="13">
        <v>1.0</v>
      </c>
      <c r="N177" s="13" t="s">
        <v>2081</v>
      </c>
      <c r="O177" s="13" t="s">
        <v>2082</v>
      </c>
      <c r="P177" s="13" t="s">
        <v>2083</v>
      </c>
      <c r="Q177" s="18" t="s">
        <v>2084</v>
      </c>
      <c r="R177" s="19" t="str">
        <f>HYPERLINK("https://docs.google.com/open?id=0B5-iztf28QNJSDZSbUJNakN6YUU","Pedestal Structure and Control (PS) - McKee - Generating and Characterizing the Edge Harmonic Oscillation via Counter-Ip Torque Injection")</f>
        <v>Pedestal Structure and Control (PS) - McKee - Generating and Characterizing the Edge Harmonic Oscillation via Counter-Ip Torque Injection</v>
      </c>
      <c r="S177" s="20" t="s">
        <v>2085</v>
      </c>
      <c r="T177" s="13" t="s">
        <v>2086</v>
      </c>
      <c r="U177" s="18" t="s">
        <v>2087</v>
      </c>
      <c r="V177" s="19" t="str">
        <f>HYPERLINK("https://docs.google.com/open?id=0B5-iztf28QNJczhZN1c2bXJLbVE","Pedestal Structure and Control (PS) - McKee - Generating and Characterizing the Edge Harmonic Oscillation via Counter-Ip Torque Injection")</f>
        <v>Pedestal Structure and Control (PS) - McKee - Generating and Characterizing the Edge Harmonic Oscillation via Counter-Ip Torque Injection</v>
      </c>
      <c r="W177" s="20" t="s">
        <v>2088</v>
      </c>
    </row>
    <row r="178">
      <c r="A178" s="17">
        <v>42055.79759770833</v>
      </c>
      <c r="B178" s="13" t="s">
        <v>2089</v>
      </c>
      <c r="C178" s="13" t="s">
        <v>426</v>
      </c>
      <c r="D178" s="13" t="s">
        <v>427</v>
      </c>
      <c r="E178" s="13" t="s">
        <v>428</v>
      </c>
      <c r="F178" s="13" t="s">
        <v>2090</v>
      </c>
      <c r="G178" s="13" t="s">
        <v>28</v>
      </c>
      <c r="H178" s="13" t="s">
        <v>430</v>
      </c>
      <c r="I178" s="13" t="s">
        <v>580</v>
      </c>
      <c r="J178" s="13" t="s">
        <v>47</v>
      </c>
      <c r="K178" s="13">
        <v>1.5</v>
      </c>
      <c r="L178" s="13">
        <v>0.0</v>
      </c>
      <c r="M178" s="13">
        <v>1.0</v>
      </c>
      <c r="N178" s="13" t="s">
        <v>2091</v>
      </c>
      <c r="O178" s="13" t="s">
        <v>2092</v>
      </c>
      <c r="P178" s="13" t="s">
        <v>2093</v>
      </c>
      <c r="Q178" s="18" t="s">
        <v>2094</v>
      </c>
      <c r="R178" s="19" t="str">
        <f>HYPERLINK("https://docs.google.com/open?id=0B5-iztf28QNJQkRaakdCQ0h0V28","Divertor and Scrape-off-layer (DS) - Ahn - Interaction of applied 3D fields with detachment ")</f>
        <v>Divertor and Scrape-off-layer (DS) - Ahn - Interaction of applied 3D fields with detachment </v>
      </c>
      <c r="S178" s="20" t="s">
        <v>2095</v>
      </c>
      <c r="T178" s="13" t="s">
        <v>2096</v>
      </c>
      <c r="U178" s="18" t="s">
        <v>2097</v>
      </c>
      <c r="V178" s="19" t="str">
        <f>HYPERLINK("https://docs.google.com/open?id=0B5-iztf28QNJbi1JYVV0MFpiUG8","Divertor and Scrape-off-layer (DS) - Ahn - Interaction of applied 3D fields with detachment ")</f>
        <v>Divertor and Scrape-off-layer (DS) - Ahn - Interaction of applied 3D fields with detachment </v>
      </c>
      <c r="W178" s="20" t="s">
        <v>2098</v>
      </c>
    </row>
    <row r="179">
      <c r="A179" s="17">
        <v>42055.80593181713</v>
      </c>
      <c r="B179" s="13" t="s">
        <v>2099</v>
      </c>
      <c r="C179" s="13" t="s">
        <v>426</v>
      </c>
      <c r="D179" s="13" t="s">
        <v>427</v>
      </c>
      <c r="E179" s="13" t="s">
        <v>428</v>
      </c>
      <c r="F179" s="13" t="s">
        <v>2100</v>
      </c>
      <c r="G179" s="13" t="s">
        <v>28</v>
      </c>
      <c r="H179" s="13" t="s">
        <v>430</v>
      </c>
      <c r="I179" s="13" t="s">
        <v>580</v>
      </c>
      <c r="J179" s="13" t="s">
        <v>2101</v>
      </c>
      <c r="K179" s="13">
        <v>1.0</v>
      </c>
      <c r="L179" s="13">
        <v>0.0</v>
      </c>
      <c r="M179" s="13">
        <v>1.0</v>
      </c>
      <c r="N179" s="13" t="s">
        <v>2102</v>
      </c>
      <c r="O179" s="13" t="s">
        <v>2103</v>
      </c>
      <c r="P179" s="13" t="s">
        <v>2104</v>
      </c>
      <c r="Q179" s="18" t="s">
        <v>2105</v>
      </c>
      <c r="R179" s="19" t="str">
        <f>HYPERLINK("https://docs.google.com/open?id=0B5-iztf28QNJSWRYUUIxWFUtaE0","Divertor and Scrape-off-layer (DS) - Ahn - Role of plasma response in the formation of lobe structures by 3D fields")</f>
        <v>Divertor and Scrape-off-layer (DS) - Ahn - Role of plasma response in the formation of lobe structures by 3D fields</v>
      </c>
      <c r="S179" s="20" t="s">
        <v>2106</v>
      </c>
      <c r="T179" s="13" t="s">
        <v>2107</v>
      </c>
      <c r="U179" s="18" t="s">
        <v>2108</v>
      </c>
      <c r="V179" s="19" t="str">
        <f>HYPERLINK("https://docs.google.com/open?id=0B5-iztf28QNJQ2tDTVRvQ0FlR3c","Divertor and Scrape-off-layer (DS) - Ahn - Role of plasma response in the formation of lobe structures by 3D fields")</f>
        <v>Divertor and Scrape-off-layer (DS) - Ahn - Role of plasma response in the formation of lobe structures by 3D fields</v>
      </c>
      <c r="W179" s="20" t="s">
        <v>2109</v>
      </c>
    </row>
    <row r="180">
      <c r="A180" s="17">
        <v>42055.81339575231</v>
      </c>
      <c r="B180" s="13" t="s">
        <v>2110</v>
      </c>
      <c r="C180" s="13" t="s">
        <v>426</v>
      </c>
      <c r="D180" s="13" t="s">
        <v>427</v>
      </c>
      <c r="E180" s="13" t="s">
        <v>428</v>
      </c>
      <c r="F180" s="13" t="s">
        <v>2111</v>
      </c>
      <c r="G180" s="13" t="s">
        <v>28</v>
      </c>
      <c r="H180" s="13" t="s">
        <v>430</v>
      </c>
      <c r="I180" s="13" t="s">
        <v>235</v>
      </c>
      <c r="J180" s="13" t="s">
        <v>47</v>
      </c>
      <c r="K180" s="13">
        <v>1.0</v>
      </c>
      <c r="L180" s="13">
        <v>1.0</v>
      </c>
      <c r="M180" s="13">
        <v>1.0</v>
      </c>
      <c r="N180" s="13" t="s">
        <v>2112</v>
      </c>
      <c r="O180" s="13" t="s">
        <v>47</v>
      </c>
      <c r="P180" s="13" t="s">
        <v>2113</v>
      </c>
      <c r="Q180" s="18" t="s">
        <v>2114</v>
      </c>
      <c r="R180" s="19" t="str">
        <f>HYPERLINK("https://docs.google.com/open?id=0B5-iztf28QNJMTYwRXhPczQ1TEU","Pedestal Structure and Control (PS) - Ahn - ELM suppression with mid-plane coils")</f>
        <v>Pedestal Structure and Control (PS) - Ahn - ELM suppression with mid-plane coils</v>
      </c>
      <c r="S180" s="20" t="s">
        <v>2115</v>
      </c>
      <c r="T180" s="13" t="s">
        <v>2116</v>
      </c>
      <c r="U180" s="18" t="s">
        <v>2117</v>
      </c>
      <c r="V180" s="19" t="str">
        <f>HYPERLINK("https://docs.google.com/open?id=0B5-iztf28QNJVnhEeUI3WjBPOGM","Pedestal Structure and Control (PS) - Ahn - ELM suppression with mid-plane coils")</f>
        <v>Pedestal Structure and Control (PS) - Ahn - ELM suppression with mid-plane coils</v>
      </c>
      <c r="W180" s="20" t="s">
        <v>2118</v>
      </c>
    </row>
    <row r="181">
      <c r="A181" s="17">
        <v>42055.85876761573</v>
      </c>
      <c r="B181" s="13" t="s">
        <v>2119</v>
      </c>
      <c r="C181" s="13" t="s">
        <v>2120</v>
      </c>
      <c r="D181" s="13" t="s">
        <v>2121</v>
      </c>
      <c r="E181" s="13" t="s">
        <v>2122</v>
      </c>
      <c r="F181" s="13" t="s">
        <v>2123</v>
      </c>
      <c r="G181" s="13" t="s">
        <v>28</v>
      </c>
      <c r="H181" s="13" t="s">
        <v>1999</v>
      </c>
      <c r="I181" s="13" t="s">
        <v>580</v>
      </c>
      <c r="J181" s="13" t="s">
        <v>2124</v>
      </c>
      <c r="K181" s="13">
        <v>1.0</v>
      </c>
      <c r="L181" s="13">
        <v>0.5</v>
      </c>
      <c r="M181" s="13">
        <v>0.5</v>
      </c>
      <c r="N181" s="13" t="s">
        <v>2125</v>
      </c>
      <c r="O181" s="13" t="s">
        <v>2126</v>
      </c>
      <c r="P181" s="13" t="s">
        <v>2127</v>
      </c>
      <c r="Q181" s="18" t="s">
        <v>2128</v>
      </c>
      <c r="R181" s="19" t="str">
        <f>HYPERLINK("https://docs.google.com/open?id=0B5-iztf28QNJRDRNakVkNzZ4Mk0","Divertor and Scrape-off-layer (DS) - Smirnov - Studies of low- and high-Z dust transport in NSTX-U")</f>
        <v>Divertor and Scrape-off-layer (DS) - Smirnov - Studies of low- and high-Z dust transport in NSTX-U</v>
      </c>
      <c r="S181" s="20" t="s">
        <v>2129</v>
      </c>
      <c r="T181" s="13" t="s">
        <v>2130</v>
      </c>
      <c r="U181" s="18" t="s">
        <v>2131</v>
      </c>
      <c r="V181" s="19" t="str">
        <f>HYPERLINK("https://docs.google.com/open?id=0B5-iztf28QNJVFU0cjk0emp3T1E","Divertor and Scrape-off-layer (DS) - Smirnov - Studies of low- and high-Z dust transport in NSTX-U")</f>
        <v>Divertor and Scrape-off-layer (DS) - Smirnov - Studies of low- and high-Z dust transport in NSTX-U</v>
      </c>
      <c r="W181" s="20" t="s">
        <v>2132</v>
      </c>
    </row>
    <row r="182">
      <c r="A182" s="17">
        <v>42055.91601188658</v>
      </c>
      <c r="B182" s="13" t="s">
        <v>2133</v>
      </c>
      <c r="C182" s="13" t="s">
        <v>1101</v>
      </c>
      <c r="D182" s="13" t="s">
        <v>2134</v>
      </c>
      <c r="E182" s="13" t="s">
        <v>2135</v>
      </c>
      <c r="F182" s="13" t="s">
        <v>1699</v>
      </c>
      <c r="G182" s="13" t="s">
        <v>28</v>
      </c>
      <c r="H182" s="13" t="s">
        <v>430</v>
      </c>
      <c r="I182" s="13" t="s">
        <v>592</v>
      </c>
      <c r="J182" s="13" t="s">
        <v>480</v>
      </c>
      <c r="K182" s="13">
        <v>1.0</v>
      </c>
      <c r="L182" s="13">
        <v>1.0</v>
      </c>
      <c r="M182" s="13">
        <v>0.5</v>
      </c>
      <c r="N182" s="13" t="s">
        <v>2136</v>
      </c>
      <c r="O182" s="13" t="s">
        <v>2137</v>
      </c>
      <c r="P182" s="13" t="s">
        <v>2138</v>
      </c>
      <c r="Q182" s="18" t="s">
        <v>2139</v>
      </c>
      <c r="R182" s="19" t="str">
        <f>HYPERLINK("https://docs.google.com/open?id=0B5-iztf28QNJWGJOQlplbjRoRlU","Particle Control Task Force (PC) - Canik - Characterize plasma near planned plenum entrance position")</f>
        <v>Particle Control Task Force (PC) - Canik - Characterize plasma near planned plenum entrance position</v>
      </c>
      <c r="S182" s="20" t="s">
        <v>2140</v>
      </c>
      <c r="T182" s="13" t="s">
        <v>2141</v>
      </c>
      <c r="U182" s="18" t="s">
        <v>2142</v>
      </c>
      <c r="V182" s="19" t="str">
        <f>HYPERLINK("https://docs.google.com/open?id=0B5-iztf28QNJV1VBODBCODlWZjA","Particle Control Task Force (PC) - Canik - Characterize plasma near planned plenum entrance position")</f>
        <v>Particle Control Task Force (PC) - Canik - Characterize plasma near planned plenum entrance position</v>
      </c>
      <c r="W182" s="20" t="s">
        <v>2143</v>
      </c>
    </row>
    <row r="183">
      <c r="A183" s="17">
        <v>42055.9187249537</v>
      </c>
      <c r="B183" s="13" t="s">
        <v>2144</v>
      </c>
      <c r="C183" s="13" t="s">
        <v>1101</v>
      </c>
      <c r="D183" s="13" t="s">
        <v>2134</v>
      </c>
      <c r="E183" s="13" t="s">
        <v>2135</v>
      </c>
      <c r="F183" s="13" t="s">
        <v>2145</v>
      </c>
      <c r="G183" s="13" t="s">
        <v>28</v>
      </c>
      <c r="H183" s="13" t="s">
        <v>430</v>
      </c>
      <c r="I183" s="13" t="s">
        <v>592</v>
      </c>
      <c r="J183" s="13" t="s">
        <v>480</v>
      </c>
      <c r="K183" s="13">
        <v>1.0</v>
      </c>
      <c r="L183" s="13">
        <v>0.0</v>
      </c>
      <c r="M183" s="13">
        <v>0.5</v>
      </c>
      <c r="N183" s="13" t="s">
        <v>2146</v>
      </c>
      <c r="O183" s="13" t="s">
        <v>2147</v>
      </c>
      <c r="P183" s="13" t="s">
        <v>2148</v>
      </c>
      <c r="Q183" s="18" t="s">
        <v>2149</v>
      </c>
      <c r="R183" s="19" t="str">
        <f>HYPERLINK("https://docs.google.com/open?id=0B5-iztf28QNJdUZSNEF3eXVNaGM","Particle Control Task Force (PC) - Canik - Re-establish ELM pacing via 3-D fields in NSTXU")</f>
        <v>Particle Control Task Force (PC) - Canik - Re-establish ELM pacing via 3-D fields in NSTXU</v>
      </c>
      <c r="S183" s="20" t="s">
        <v>2150</v>
      </c>
      <c r="T183" s="13" t="s">
        <v>2151</v>
      </c>
      <c r="U183" s="18" t="s">
        <v>2152</v>
      </c>
      <c r="V183" s="19" t="str">
        <f>HYPERLINK("https://docs.google.com/open?id=0B5-iztf28QNJdkFNbUVIOXlSOVE","Particle Control Task Force (PC) - Canik - Re-establish ELM pacing via 3-D fields in NSTXU")</f>
        <v>Particle Control Task Force (PC) - Canik - Re-establish ELM pacing via 3-D fields in NSTXU</v>
      </c>
      <c r="W183" s="20" t="s">
        <v>2153</v>
      </c>
    </row>
    <row r="184">
      <c r="A184" s="17">
        <v>42055.92379237269</v>
      </c>
      <c r="B184" s="13" t="s">
        <v>2154</v>
      </c>
      <c r="C184" s="13" t="s">
        <v>1101</v>
      </c>
      <c r="D184" s="13" t="s">
        <v>2134</v>
      </c>
      <c r="E184" s="13" t="s">
        <v>2135</v>
      </c>
      <c r="F184" s="13" t="s">
        <v>2155</v>
      </c>
      <c r="G184" s="13" t="s">
        <v>28</v>
      </c>
      <c r="H184" s="13" t="s">
        <v>430</v>
      </c>
      <c r="I184" s="13" t="s">
        <v>60</v>
      </c>
      <c r="J184" s="13" t="s">
        <v>480</v>
      </c>
      <c r="K184" s="13">
        <v>1.0</v>
      </c>
      <c r="L184" s="13">
        <v>0.0</v>
      </c>
      <c r="M184" s="13">
        <v>0.5</v>
      </c>
      <c r="N184" s="13" t="s">
        <v>2156</v>
      </c>
      <c r="O184" s="13" t="s">
        <v>2157</v>
      </c>
      <c r="P184" s="13" t="s">
        <v>2158</v>
      </c>
      <c r="Q184" s="18" t="s">
        <v>2159</v>
      </c>
      <c r="R184" s="19" t="str">
        <f>HYPERLINK("https://docs.google.com/open?id=0B5-iztf28QNJeDlOdGFSTERPTHM","Advanced Scenarios and Control (ASC) - Canik - EPH access and long-pulse development")</f>
        <v>Advanced Scenarios and Control (ASC) - Canik - EPH access and long-pulse development</v>
      </c>
      <c r="S184" s="20" t="s">
        <v>2160</v>
      </c>
      <c r="T184" s="13" t="s">
        <v>2161</v>
      </c>
      <c r="U184" s="18" t="s">
        <v>2162</v>
      </c>
      <c r="V184" s="19" t="str">
        <f>HYPERLINK("https://docs.google.com/open?id=0B5-iztf28QNJWnNWbjFkNEItdHc","Advanced Scenarios and Control (ASC) - Canik - EPH access and long-pulse development")</f>
        <v>Advanced Scenarios and Control (ASC) - Canik - EPH access and long-pulse development</v>
      </c>
      <c r="W184" s="20" t="s">
        <v>2163</v>
      </c>
    </row>
    <row r="185">
      <c r="A185" s="17">
        <v>42055.93263508102</v>
      </c>
      <c r="B185" s="13" t="s">
        <v>2164</v>
      </c>
      <c r="C185" s="13" t="s">
        <v>1101</v>
      </c>
      <c r="D185" s="13" t="s">
        <v>2134</v>
      </c>
      <c r="E185" s="13" t="s">
        <v>2135</v>
      </c>
      <c r="F185" s="13" t="s">
        <v>2165</v>
      </c>
      <c r="G185" s="13" t="s">
        <v>28</v>
      </c>
      <c r="H185" s="13" t="s">
        <v>430</v>
      </c>
      <c r="I185" s="13" t="s">
        <v>580</v>
      </c>
      <c r="J185" s="13" t="s">
        <v>480</v>
      </c>
      <c r="K185" s="13">
        <v>0.5</v>
      </c>
      <c r="L185" s="13">
        <v>0.0</v>
      </c>
      <c r="M185" s="13">
        <v>0.5</v>
      </c>
      <c r="N185" s="13" t="s">
        <v>2166</v>
      </c>
      <c r="O185" s="13" t="s">
        <v>2167</v>
      </c>
      <c r="P185" s="13" t="s">
        <v>2168</v>
      </c>
      <c r="Q185" s="18" t="s">
        <v>2169</v>
      </c>
      <c r="R185" s="19" t="str">
        <f>HYPERLINK("https://docs.google.com/open?id=0B5-iztf28QNJWDR5VFpOX1NPdGM","Divertor and Scrape-off-layer (DS) - Canik - Distinguishing between 3d magnetic field structures and transport")</f>
        <v>Divertor and Scrape-off-layer (DS) - Canik - Distinguishing between 3d magnetic field structures and transport</v>
      </c>
      <c r="S185" s="20" t="s">
        <v>2170</v>
      </c>
      <c r="T185" s="13" t="s">
        <v>2171</v>
      </c>
      <c r="U185" s="18" t="s">
        <v>2172</v>
      </c>
      <c r="V185" s="19" t="str">
        <f>HYPERLINK("https://docs.google.com/open?id=0B5-iztf28QNJcmMwVThHazRtbUE","Divertor and Scrape-off-layer (DS) - Canik - Distinguishing between 3d magnetic field structures and transport")</f>
        <v>Divertor and Scrape-off-layer (DS) - Canik - Distinguishing between 3d magnetic field structures and transport</v>
      </c>
      <c r="W185" s="20" t="s">
        <v>2173</v>
      </c>
    </row>
    <row r="186">
      <c r="A186" s="17">
        <v>42055.938912789345</v>
      </c>
      <c r="B186" s="13" t="s">
        <v>2174</v>
      </c>
      <c r="C186" s="13" t="s">
        <v>1101</v>
      </c>
      <c r="D186" s="13" t="s">
        <v>2134</v>
      </c>
      <c r="E186" s="13" t="s">
        <v>2135</v>
      </c>
      <c r="F186" s="13" t="s">
        <v>2165</v>
      </c>
      <c r="G186" s="13" t="s">
        <v>28</v>
      </c>
      <c r="H186" s="13" t="s">
        <v>430</v>
      </c>
      <c r="I186" s="13" t="s">
        <v>235</v>
      </c>
      <c r="J186" s="13" t="s">
        <v>480</v>
      </c>
      <c r="K186" s="13">
        <v>1.0</v>
      </c>
      <c r="L186" s="13">
        <v>0.5</v>
      </c>
      <c r="M186" s="13">
        <v>0.5</v>
      </c>
      <c r="N186" s="13" t="s">
        <v>2175</v>
      </c>
      <c r="O186" s="13" t="s">
        <v>2176</v>
      </c>
      <c r="P186" s="13" t="s">
        <v>2177</v>
      </c>
      <c r="Q186" s="18" t="s">
        <v>2178</v>
      </c>
      <c r="R186" s="19" t="str">
        <f>HYPERLINK("https://docs.google.com/open?id=0B5-iztf28QNJMmlLOThVVV94eE0","Pedestal Structure and Control (PS) - Canik - Impact of 3-D fields on pedestal profiles under varying wall conditions and collisionality.")</f>
        <v>Pedestal Structure and Control (PS) - Canik - Impact of 3-D fields on pedestal profiles under varying wall conditions and collisionality.</v>
      </c>
      <c r="S186" s="20" t="s">
        <v>2179</v>
      </c>
      <c r="T186" s="13" t="s">
        <v>2180</v>
      </c>
      <c r="U186" s="18" t="s">
        <v>2181</v>
      </c>
      <c r="V186" s="19" t="str">
        <f>HYPERLINK("https://docs.google.com/open?id=0B5-iztf28QNJdXFkdm0wTko3eUU","Pedestal Structure and Control (PS) - Canik - Impact of 3-D fields on pedestal profiles under varying wall conditions and collisionality.")</f>
        <v>Pedestal Structure and Control (PS) - Canik - Impact of 3-D fields on pedestal profiles under varying wall conditions and collisionality.</v>
      </c>
      <c r="W186" s="20" t="s">
        <v>2182</v>
      </c>
    </row>
    <row r="187">
      <c r="A187" s="17">
        <v>42058.480299571755</v>
      </c>
      <c r="B187" s="13" t="s">
        <v>2183</v>
      </c>
      <c r="C187" s="13" t="s">
        <v>164</v>
      </c>
      <c r="D187" s="13" t="s">
        <v>2184</v>
      </c>
      <c r="E187" s="13" t="s">
        <v>2185</v>
      </c>
      <c r="F187" s="13" t="s">
        <v>2186</v>
      </c>
      <c r="G187" s="13" t="s">
        <v>1577</v>
      </c>
      <c r="H187" s="13" t="s">
        <v>29</v>
      </c>
      <c r="I187" s="13" t="s">
        <v>580</v>
      </c>
      <c r="J187" s="13" t="s">
        <v>2187</v>
      </c>
      <c r="K187" s="13">
        <v>1.0</v>
      </c>
      <c r="L187" s="13">
        <v>0.5</v>
      </c>
      <c r="M187" s="13">
        <v>0.5</v>
      </c>
      <c r="N187" s="13" t="s">
        <v>2188</v>
      </c>
      <c r="O187" s="13" t="s">
        <v>2189</v>
      </c>
      <c r="P187" s="13" t="s">
        <v>2190</v>
      </c>
      <c r="Q187" s="18" t="s">
        <v>2191</v>
      </c>
      <c r="R187" s="19" t="str">
        <f>HYPERLINK("https://docs.google.com/open?id=0B5-iztf28QNJQUJpZGpyeVc5ams","Divertor and Scrape-off-layer (DS) - Hager - Relation between the midplane SOL pressure width and the divertor heat flux width")</f>
        <v>Divertor and Scrape-off-layer (DS) - Hager - Relation between the midplane SOL pressure width and the divertor heat flux width</v>
      </c>
      <c r="S187" s="20" t="s">
        <v>2192</v>
      </c>
      <c r="T187" s="13" t="s">
        <v>2193</v>
      </c>
      <c r="U187" s="18" t="s">
        <v>2194</v>
      </c>
      <c r="V187" s="19" t="str">
        <f>HYPERLINK("https://docs.google.com/open?id=0B5-iztf28QNJQ0V6UXNYQ09oRjA","Divertor and Scrape-off-layer (DS) - Hager - Relation between the midplane SOL pressure width and the divertor heat flux width")</f>
        <v>Divertor and Scrape-off-layer (DS) - Hager - Relation between the midplane SOL pressure width and the divertor heat flux width</v>
      </c>
      <c r="W187" s="20" t="s">
        <v>2195</v>
      </c>
    </row>
    <row r="188">
      <c r="A188" s="17">
        <v>42056.48205005787</v>
      </c>
      <c r="B188" s="13" t="s">
        <v>2196</v>
      </c>
      <c r="C188" s="13" t="s">
        <v>24</v>
      </c>
      <c r="D188" s="13" t="s">
        <v>25</v>
      </c>
      <c r="E188" s="13" t="s">
        <v>26</v>
      </c>
      <c r="F188" s="13" t="s">
        <v>2197</v>
      </c>
      <c r="G188" s="13" t="s">
        <v>28</v>
      </c>
      <c r="H188" s="13" t="s">
        <v>29</v>
      </c>
      <c r="I188" s="13" t="s">
        <v>60</v>
      </c>
      <c r="J188" s="13" t="s">
        <v>2198</v>
      </c>
      <c r="K188" s="13">
        <v>2.0</v>
      </c>
      <c r="L188" s="13">
        <v>1.0</v>
      </c>
      <c r="M188" s="13">
        <v>1.0</v>
      </c>
      <c r="N188" s="13" t="s">
        <v>2199</v>
      </c>
      <c r="O188" s="13" t="s">
        <v>2200</v>
      </c>
      <c r="P188" s="13" t="s">
        <v>2201</v>
      </c>
      <c r="Q188" s="18" t="s">
        <v>2202</v>
      </c>
      <c r="R188" s="19" t="str">
        <f>HYPERLINK("https://docs.google.com/open?id=0B5-iztf28QNJTHN5d3N2eXJ0ZU0","Advanced Scenarios and Control (ASC) - Battaglia - Develop VERY long pulse H-mode for NSTX-U")</f>
        <v>Advanced Scenarios and Control (ASC) - Battaglia - Develop VERY long pulse H-mode for NSTX-U</v>
      </c>
      <c r="S188" s="20" t="s">
        <v>2203</v>
      </c>
      <c r="T188" s="13" t="s">
        <v>2204</v>
      </c>
      <c r="U188" s="18" t="s">
        <v>2205</v>
      </c>
      <c r="V188" s="19" t="str">
        <f>HYPERLINK("https://docs.google.com/open?id=0B5-iztf28QNJMkhHMG5GemxTa3c","Advanced Scenarios and Control (ASC) - Battaglia - Develop VERY long pulse H-mode for NSTX-U")</f>
        <v>Advanced Scenarios and Control (ASC) - Battaglia - Develop VERY long pulse H-mode for NSTX-U</v>
      </c>
      <c r="W188" s="20" t="s">
        <v>2206</v>
      </c>
    </row>
    <row r="189">
      <c r="A189" s="17">
        <v>42057.509261562496</v>
      </c>
      <c r="B189" s="13" t="s">
        <v>2207</v>
      </c>
      <c r="C189" s="13" t="s">
        <v>42</v>
      </c>
      <c r="D189" s="13" t="s">
        <v>43</v>
      </c>
      <c r="E189" s="13" t="s">
        <v>44</v>
      </c>
      <c r="F189" s="13" t="s">
        <v>2208</v>
      </c>
      <c r="G189" s="13" t="s">
        <v>28</v>
      </c>
      <c r="H189" s="13" t="s">
        <v>29</v>
      </c>
      <c r="I189" s="13" t="s">
        <v>60</v>
      </c>
      <c r="J189" s="13" t="s">
        <v>47</v>
      </c>
      <c r="K189" s="13">
        <v>1.0</v>
      </c>
      <c r="L189" s="13">
        <v>0.0</v>
      </c>
      <c r="M189" s="13">
        <v>0.5</v>
      </c>
      <c r="N189" s="13" t="s">
        <v>2209</v>
      </c>
      <c r="O189" s="13" t="s">
        <v>2210</v>
      </c>
      <c r="P189" s="13" t="s">
        <v>2211</v>
      </c>
      <c r="Q189" s="18" t="s">
        <v>2212</v>
      </c>
      <c r="R189" s="19" t="str">
        <f>HYPERLINK("https://docs.google.com/open?id=0B5-iztf28QNJeURVVWtlZDZmelU","Advanced Scenarios and Control (ASC) - Stefan - Reversed Shear Plasma with Relaxed Profiles")</f>
        <v>Advanced Scenarios and Control (ASC) - Stefan - Reversed Shear Plasma with Relaxed Profiles</v>
      </c>
      <c r="S189" s="20" t="s">
        <v>2213</v>
      </c>
      <c r="T189" s="13" t="s">
        <v>2214</v>
      </c>
      <c r="U189" s="18" t="s">
        <v>2215</v>
      </c>
      <c r="V189" s="19" t="str">
        <f>HYPERLINK("https://docs.google.com/open?id=0B5-iztf28QNJOU5rWXN4OUNfWFU","Advanced Scenarios and Control (ASC) - Gerhardt - Reversed Shear Plasma with Relaxed Profiles")</f>
        <v>Advanced Scenarios and Control (ASC) - Gerhardt - Reversed Shear Plasma with Relaxed Profiles</v>
      </c>
      <c r="W189" s="20" t="s">
        <v>2216</v>
      </c>
    </row>
    <row r="190">
      <c r="A190" s="17">
        <v>42056.472084953704</v>
      </c>
      <c r="B190" s="13" t="s">
        <v>2217</v>
      </c>
      <c r="C190" s="13" t="s">
        <v>24</v>
      </c>
      <c r="D190" s="13" t="s">
        <v>25</v>
      </c>
      <c r="E190" s="13" t="s">
        <v>26</v>
      </c>
      <c r="F190" s="13" t="s">
        <v>2218</v>
      </c>
      <c r="G190" s="13" t="s">
        <v>28</v>
      </c>
      <c r="H190" s="13" t="s">
        <v>29</v>
      </c>
      <c r="I190" s="13" t="s">
        <v>154</v>
      </c>
      <c r="J190" s="13" t="s">
        <v>31</v>
      </c>
      <c r="K190" s="13">
        <v>1.0</v>
      </c>
      <c r="L190" s="13">
        <v>0.0</v>
      </c>
      <c r="M190" s="13">
        <v>1.0</v>
      </c>
      <c r="N190" s="13" t="s">
        <v>2219</v>
      </c>
      <c r="O190" s="13" t="s">
        <v>2220</v>
      </c>
      <c r="P190" s="13" t="s">
        <v>2221</v>
      </c>
      <c r="Q190" s="18" t="s">
        <v>2222</v>
      </c>
      <c r="R190" s="19" t="str">
        <f>HYPERLINK("https://docs.google.com/open?id=0B5-iztf28QNJS25rYkpVOHpjZWM","Cross-cutting and Enabling (CC) - Battaglia - Increase Bt above 0.5T, Ip above 1MA")</f>
        <v>Cross-cutting and Enabling (CC) - Battaglia - Increase Bt above 0.5T, Ip above 1MA</v>
      </c>
      <c r="S190" s="20" t="s">
        <v>2223</v>
      </c>
      <c r="T190" s="13" t="s">
        <v>2224</v>
      </c>
      <c r="U190" s="18" t="s">
        <v>2225</v>
      </c>
      <c r="V190" s="19" t="str">
        <f>HYPERLINK("https://docs.google.com/open?id=0B5-iztf28QNJRXNON3hlcjRqZWM","Cross-cutting and Enabling (CC) - Battaglia - Increase Bt above 0.5T, Ip above 1MA")</f>
        <v>Cross-cutting and Enabling (CC) - Battaglia - Increase Bt above 0.5T, Ip above 1MA</v>
      </c>
      <c r="W190" s="20" t="s">
        <v>2226</v>
      </c>
    </row>
    <row r="191">
      <c r="A191" s="17">
        <v>42056.519231342594</v>
      </c>
      <c r="B191" s="13" t="s">
        <v>2227</v>
      </c>
      <c r="C191" s="13" t="s">
        <v>1814</v>
      </c>
      <c r="D191" s="13" t="s">
        <v>2228</v>
      </c>
      <c r="E191" s="13" t="s">
        <v>2229</v>
      </c>
      <c r="F191" s="13" t="s">
        <v>2230</v>
      </c>
      <c r="G191" s="13" t="s">
        <v>28</v>
      </c>
      <c r="H191" s="13" t="s">
        <v>29</v>
      </c>
      <c r="I191" s="13" t="s">
        <v>235</v>
      </c>
      <c r="J191" s="13" t="s">
        <v>31</v>
      </c>
      <c r="K191" s="13">
        <v>1.0</v>
      </c>
      <c r="L191" s="13">
        <v>0.5</v>
      </c>
      <c r="M191" s="13">
        <v>0.5</v>
      </c>
      <c r="N191" s="13" t="s">
        <v>2231</v>
      </c>
      <c r="O191" s="13" t="s">
        <v>2232</v>
      </c>
      <c r="P191" s="13" t="s">
        <v>2233</v>
      </c>
      <c r="Q191" s="18" t="s">
        <v>2234</v>
      </c>
      <c r="R191" s="19" t="str">
        <f>HYPERLINK("https://docs.google.com/open?id=0B5-iztf28QNJV1ZBVzc5bHJkcnc","Pedestal Structure and Control (PS) - Churchill - Effect of beam tangency radius on H-mode access and quality with XGC simulations")</f>
        <v>Pedestal Structure and Control (PS) - Churchill - Effect of beam tangency radius on H-mode access and quality with XGC simulations</v>
      </c>
      <c r="S191" s="20" t="s">
        <v>2235</v>
      </c>
      <c r="T191" s="13" t="s">
        <v>2236</v>
      </c>
      <c r="U191" s="18" t="s">
        <v>2237</v>
      </c>
      <c r="V191" s="19" t="str">
        <f>HYPERLINK("https://docs.google.com/open?id=0B5-iztf28QNJdEJBT2QyOF9GeVE","Pedestal Structure and Control (PS) - Churchill - Effect of beam tangency radius on H-mode access and quality with XGC simulations")</f>
        <v>Pedestal Structure and Control (PS) - Churchill - Effect of beam tangency radius on H-mode access and quality with XGC simulations</v>
      </c>
      <c r="W191" s="20" t="s">
        <v>2238</v>
      </c>
    </row>
    <row r="192">
      <c r="A192" s="17">
        <v>42056.51880603009</v>
      </c>
      <c r="B192" s="13" t="s">
        <v>2239</v>
      </c>
      <c r="C192" s="13" t="s">
        <v>1814</v>
      </c>
      <c r="D192" s="13" t="s">
        <v>2228</v>
      </c>
      <c r="E192" s="13" t="s">
        <v>2229</v>
      </c>
      <c r="F192" s="13" t="s">
        <v>2240</v>
      </c>
      <c r="G192" s="13" t="s">
        <v>28</v>
      </c>
      <c r="H192" s="13" t="s">
        <v>29</v>
      </c>
      <c r="I192" s="13" t="s">
        <v>235</v>
      </c>
      <c r="J192" s="13" t="s">
        <v>47</v>
      </c>
      <c r="K192" s="13">
        <v>0.0</v>
      </c>
      <c r="L192" s="13">
        <v>0.0</v>
      </c>
      <c r="M192" s="13">
        <v>0.0</v>
      </c>
      <c r="N192" s="13" t="s">
        <v>2241</v>
      </c>
      <c r="O192" s="13" t="s">
        <v>2242</v>
      </c>
      <c r="P192" s="13" t="s">
        <v>2243</v>
      </c>
      <c r="Q192" s="18" t="s">
        <v>2244</v>
      </c>
      <c r="R192" s="19" t="str">
        <f>HYPERLINK("https://docs.google.com/open?id=0B5-iztf28QNJLUdTbEFPY21sMEE","Pedestal Structure and Control (PS) - Churchill - Effect of poloidal variation of gas fueling on H-mode access and sustainment")</f>
        <v>Pedestal Structure and Control (PS) - Churchill - Effect of poloidal variation of gas fueling on H-mode access and sustainment</v>
      </c>
      <c r="S192" s="20" t="s">
        <v>2245</v>
      </c>
      <c r="T192" s="13" t="s">
        <v>2246</v>
      </c>
      <c r="U192" s="18" t="s">
        <v>2247</v>
      </c>
      <c r="V192" s="19" t="str">
        <f>HYPERLINK("https://docs.google.com/open?id=0B5-iztf28QNJMnkySXNtcnN6aFk","Pedestal Structure and Control (PS) - Churchill - Effect of poloidal variation of gas fueling on H-mode access and sustainment")</f>
        <v>Pedestal Structure and Control (PS) - Churchill - Effect of poloidal variation of gas fueling on H-mode access and sustainment</v>
      </c>
      <c r="W192" s="20" t="s">
        <v>2248</v>
      </c>
    </row>
    <row r="193">
      <c r="A193" s="17">
        <v>42056.63352003472</v>
      </c>
      <c r="B193" s="13" t="s">
        <v>2249</v>
      </c>
      <c r="C193" s="13" t="s">
        <v>2250</v>
      </c>
      <c r="D193" s="13" t="s">
        <v>2251</v>
      </c>
      <c r="E193" s="13" t="s">
        <v>2252</v>
      </c>
      <c r="F193" s="13" t="s">
        <v>2253</v>
      </c>
      <c r="G193" s="13" t="s">
        <v>28</v>
      </c>
      <c r="H193" s="13" t="s">
        <v>29</v>
      </c>
      <c r="I193" s="13" t="s">
        <v>235</v>
      </c>
      <c r="J193" s="13" t="s">
        <v>2254</v>
      </c>
      <c r="K193" s="13">
        <v>1.0</v>
      </c>
      <c r="L193" s="13">
        <v>1.0</v>
      </c>
      <c r="M193" s="13">
        <v>0.5</v>
      </c>
      <c r="N193" s="13" t="s">
        <v>2255</v>
      </c>
      <c r="O193" s="13" t="s">
        <v>2256</v>
      </c>
      <c r="P193" s="13" t="s">
        <v>2257</v>
      </c>
      <c r="Q193" s="18" t="s">
        <v>2258</v>
      </c>
      <c r="R193" s="19" t="str">
        <f>HYPERLINK("https://docs.google.com/open?id=0B5-iztf28QNJcUpTVVphbTZrRk0","Pedestal Structure and Control (PS) - Chang - Effect of neutral particles on upstream and pedestal turbulence")</f>
        <v>Pedestal Structure and Control (PS) - Chang - Effect of neutral particles on upstream and pedestal turbulence</v>
      </c>
      <c r="S193" s="20" t="s">
        <v>2259</v>
      </c>
      <c r="T193" s="13" t="s">
        <v>2260</v>
      </c>
      <c r="U193" s="18" t="s">
        <v>2261</v>
      </c>
      <c r="V193" s="19" t="str">
        <f>HYPERLINK("https://docs.google.com/open?id=0B5-iztf28QNJdE5iV1ZDQlM4bW8","Pedestal Structure and Control (PS) - Chang - Effect of neutral particles on upstream and pedestal turbulence")</f>
        <v>Pedestal Structure and Control (PS) - Chang - Effect of neutral particles on upstream and pedestal turbulence</v>
      </c>
      <c r="W193" s="20" t="s">
        <v>2262</v>
      </c>
    </row>
    <row r="194">
      <c r="A194" s="17">
        <v>42056.744307939814</v>
      </c>
      <c r="B194" s="13" t="s">
        <v>2263</v>
      </c>
      <c r="C194" s="13" t="s">
        <v>1037</v>
      </c>
      <c r="D194" s="13" t="s">
        <v>1038</v>
      </c>
      <c r="E194" s="13" t="s">
        <v>1039</v>
      </c>
      <c r="F194" s="13" t="s">
        <v>2264</v>
      </c>
      <c r="G194" s="13" t="s">
        <v>28</v>
      </c>
      <c r="H194" s="13" t="s">
        <v>121</v>
      </c>
      <c r="I194" s="13" t="s">
        <v>169</v>
      </c>
      <c r="J194" s="13" t="s">
        <v>2265</v>
      </c>
      <c r="K194" s="13">
        <v>0.5</v>
      </c>
      <c r="L194" s="13">
        <v>0.0</v>
      </c>
      <c r="M194" s="13">
        <v>0.25</v>
      </c>
      <c r="N194" s="13" t="s">
        <v>2266</v>
      </c>
      <c r="O194" s="13" t="s">
        <v>2267</v>
      </c>
      <c r="P194" s="13" t="s">
        <v>2268</v>
      </c>
      <c r="Q194" s="18" t="s">
        <v>2269</v>
      </c>
      <c r="R194" s="19" t="str">
        <f>HYPERLINK("https://docs.google.com/open?id=0B5-iztf28QNJNlFsSHJiTHFyaGs","Macroscopic Stability (MS) - Nelson - Increased CHI Start-up Currents through Imposed Non-axisymmetric Perturbations")</f>
        <v>Macroscopic Stability (MS) - Nelson - Increased CHI Start-up Currents through Imposed Non-axisymmetric Perturbations</v>
      </c>
      <c r="S194" s="20" t="s">
        <v>2270</v>
      </c>
      <c r="T194" s="13" t="s">
        <v>2271</v>
      </c>
      <c r="U194" s="18" t="s">
        <v>2272</v>
      </c>
      <c r="V194" s="19" t="str">
        <f>HYPERLINK("https://docs.google.com/open?id=0B5-iztf28QNJUjdSb1N1bU9xSkE","Macroscopic Stability (MS) - Nelson - Increased CHI Start-up Currents through Imposed Non-axisymmetric Perturbations")</f>
        <v>Macroscopic Stability (MS) - Nelson - Increased CHI Start-up Currents through Imposed Non-axisymmetric Perturbations</v>
      </c>
      <c r="W194" s="20" t="s">
        <v>2273</v>
      </c>
    </row>
    <row r="195">
      <c r="A195" s="17">
        <v>42057.106515694446</v>
      </c>
      <c r="B195" s="13" t="s">
        <v>2274</v>
      </c>
      <c r="C195" s="13" t="s">
        <v>2275</v>
      </c>
      <c r="D195" s="13" t="s">
        <v>2276</v>
      </c>
      <c r="E195" s="13" t="s">
        <v>2277</v>
      </c>
      <c r="F195" s="13" t="s">
        <v>2278</v>
      </c>
      <c r="G195" s="13" t="s">
        <v>28</v>
      </c>
      <c r="H195" s="13" t="s">
        <v>954</v>
      </c>
      <c r="I195" s="13" t="s">
        <v>663</v>
      </c>
      <c r="J195" s="13" t="s">
        <v>47</v>
      </c>
      <c r="K195" s="13">
        <v>1.0</v>
      </c>
      <c r="L195" s="13">
        <v>0.0</v>
      </c>
      <c r="M195" s="13">
        <v>0.5</v>
      </c>
      <c r="N195" s="13" t="s">
        <v>2279</v>
      </c>
      <c r="O195" s="13" t="s">
        <v>2280</v>
      </c>
      <c r="P195" s="13" t="s">
        <v>2281</v>
      </c>
      <c r="Q195" s="18" t="s">
        <v>2282</v>
      </c>
      <c r="R195" s="19" t="str">
        <f>HYPERLINK("https://docs.google.com/open?id=0B5-iztf28QNJaVhYdHFCTFZGODA","Turbulence and Transport (TT) - Golfinopoulos - Coupling to Plasma Fluctuations Using Amplitude Modulation of RF Antennas: A Shortcut to Driving the EHO?")</f>
        <v>Turbulence and Transport (TT) - Golfinopoulos - Coupling to Plasma Fluctuations Using Amplitude Modulation of RF Antennas: A Shortcut to Driving the EHO?</v>
      </c>
      <c r="S195" s="20" t="s">
        <v>2283</v>
      </c>
      <c r="T195" s="13" t="s">
        <v>2284</v>
      </c>
      <c r="U195" s="18" t="s">
        <v>2285</v>
      </c>
      <c r="V195" s="19" t="str">
        <f>HYPERLINK("https://docs.google.com/open?id=0B5-iztf28QNJMmtMS0luV2VISGs","Turbulence and Transport (TT) - Golfinopoulos - Coupling to Plasma Fluctuations Using Amplitude Modulation of RF Antennas: A Shortcut to Driving the EHO?")</f>
        <v>Turbulence and Transport (TT) - Golfinopoulos - Coupling to Plasma Fluctuations Using Amplitude Modulation of RF Antennas: A Shortcut to Driving the EHO?</v>
      </c>
      <c r="W195" s="20" t="s">
        <v>2286</v>
      </c>
    </row>
    <row r="196">
      <c r="A196" s="17">
        <v>42057.347676516205</v>
      </c>
      <c r="B196" s="13" t="s">
        <v>2287</v>
      </c>
      <c r="C196" s="13" t="s">
        <v>2288</v>
      </c>
      <c r="D196" s="13" t="s">
        <v>2289</v>
      </c>
      <c r="E196" s="13" t="s">
        <v>2290</v>
      </c>
      <c r="F196" s="13" t="s">
        <v>2291</v>
      </c>
      <c r="G196" s="13" t="s">
        <v>28</v>
      </c>
      <c r="H196" s="13" t="s">
        <v>1427</v>
      </c>
      <c r="I196" s="13" t="s">
        <v>545</v>
      </c>
      <c r="J196" s="13" t="s">
        <v>2292</v>
      </c>
      <c r="K196" s="13">
        <v>1.0</v>
      </c>
      <c r="L196" s="13">
        <v>0.5</v>
      </c>
      <c r="M196" s="13">
        <v>0.5</v>
      </c>
      <c r="N196" s="13" t="s">
        <v>2293</v>
      </c>
      <c r="O196" s="13" t="s">
        <v>2294</v>
      </c>
      <c r="P196" s="13" t="s">
        <v>2295</v>
      </c>
      <c r="Q196" s="18" t="s">
        <v>2296</v>
      </c>
      <c r="R196" s="19" t="str">
        <f>HYPERLINK("https://docs.google.com/open?id=0B5-iztf28QNJdlNlc0Nia05yVnM","Solenoid-free Start-up and Ramp-up (SR) - Reusch - Characterization of the scrape off layer density and SOL density control tools for Local Helicity Injection design.")</f>
        <v>Solenoid-free Start-up and Ramp-up (SR) - Reusch - Characterization of the scrape off layer density and SOL density control tools for Local Helicity Injection design.</v>
      </c>
      <c r="S196" s="20" t="s">
        <v>2297</v>
      </c>
      <c r="T196" s="13" t="s">
        <v>2298</v>
      </c>
      <c r="U196" s="18" t="s">
        <v>2299</v>
      </c>
      <c r="V196" s="19" t="str">
        <f>HYPERLINK("https://docs.google.com/open?id=0B5-iztf28QNJOElSZ0VJQUUzZ1k","Solenoid-free Start-up and Ramp-up (SR) - Reusch - Characterization of the scrape off layer density and SOL density control tools for Local Helicity Injection design.")</f>
        <v>Solenoid-free Start-up and Ramp-up (SR) - Reusch - Characterization of the scrape off layer density and SOL density control tools for Local Helicity Injection design.</v>
      </c>
      <c r="W196" s="20" t="s">
        <v>2300</v>
      </c>
    </row>
    <row r="197">
      <c r="A197" s="17">
        <v>42057.365129247686</v>
      </c>
      <c r="B197" s="13" t="s">
        <v>2301</v>
      </c>
      <c r="C197" s="13" t="s">
        <v>2302</v>
      </c>
      <c r="D197" s="13" t="s">
        <v>2303</v>
      </c>
      <c r="E197" s="13" t="s">
        <v>2304</v>
      </c>
      <c r="F197" s="13" t="s">
        <v>2305</v>
      </c>
      <c r="G197" s="13" t="s">
        <v>28</v>
      </c>
      <c r="H197" s="13" t="s">
        <v>29</v>
      </c>
      <c r="I197" s="13" t="s">
        <v>592</v>
      </c>
      <c r="J197" s="13" t="s">
        <v>2306</v>
      </c>
      <c r="K197" s="13">
        <v>1.0</v>
      </c>
      <c r="L197" s="13">
        <v>0.0</v>
      </c>
      <c r="M197" s="13">
        <v>0.5</v>
      </c>
      <c r="N197" s="13" t="s">
        <v>2307</v>
      </c>
      <c r="O197" s="13" t="s">
        <v>2308</v>
      </c>
      <c r="P197" s="13" t="s">
        <v>2309</v>
      </c>
      <c r="Q197" s="18" t="s">
        <v>2310</v>
      </c>
      <c r="R197" s="19" t="str">
        <f>HYPERLINK("https://docs.google.com/open?id=0B5-iztf28QNJRV96QldQMnV6YTA","Particle Control Task Force (PC) - Goldston - EHO Scoping Study")</f>
        <v>Particle Control Task Force (PC) - Goldston - EHO Scoping Study</v>
      </c>
      <c r="S197" s="20" t="s">
        <v>2311</v>
      </c>
      <c r="T197" s="13" t="s">
        <v>2312</v>
      </c>
      <c r="U197" s="18" t="s">
        <v>2313</v>
      </c>
      <c r="V197" s="19" t="str">
        <f>HYPERLINK("https://docs.google.com/open?id=0B5-iztf28QNJUWxyZWg4amJLa2c","Particle Control Task Force (PC) - Goldston - EHO Scoping Study")</f>
        <v>Particle Control Task Force (PC) - Goldston - EHO Scoping Study</v>
      </c>
      <c r="W197" s="20" t="s">
        <v>2314</v>
      </c>
    </row>
    <row r="198">
      <c r="A198" s="17">
        <v>42057.42294896991</v>
      </c>
      <c r="B198" s="13" t="s">
        <v>2315</v>
      </c>
      <c r="C198" s="13" t="s">
        <v>2316</v>
      </c>
      <c r="D198" s="13" t="s">
        <v>2317</v>
      </c>
      <c r="E198" s="13" t="s">
        <v>2318</v>
      </c>
      <c r="F198" s="13" t="s">
        <v>2319</v>
      </c>
      <c r="G198" s="13" t="s">
        <v>270</v>
      </c>
      <c r="H198" s="13" t="s">
        <v>2320</v>
      </c>
      <c r="I198" s="13" t="s">
        <v>580</v>
      </c>
      <c r="J198" s="13" t="s">
        <v>47</v>
      </c>
      <c r="K198" s="13">
        <v>1.0</v>
      </c>
      <c r="L198" s="13">
        <v>1.0</v>
      </c>
      <c r="M198" s="13">
        <v>1.0</v>
      </c>
      <c r="N198" s="13" t="s">
        <v>2321</v>
      </c>
      <c r="O198" s="13" t="s">
        <v>2322</v>
      </c>
      <c r="P198" s="13" t="s">
        <v>2323</v>
      </c>
      <c r="Q198" s="18" t="s">
        <v>2324</v>
      </c>
      <c r="R198" s="19" t="str">
        <f>HYPERLINK("https://docs.google.com/open?id=0B5-iztf28QNJS3RCSjFzWXM5dk0","Divertor and Scrape-off-layer (DS) - gan -  Investigation of ELM heat flux footprints with the variation of ELM regime")</f>
        <v>Divertor and Scrape-off-layer (DS) - gan -  Investigation of ELM heat flux footprints with the variation of ELM regime</v>
      </c>
      <c r="S198" s="20" t="s">
        <v>2325</v>
      </c>
      <c r="T198" s="13" t="s">
        <v>2326</v>
      </c>
      <c r="U198" s="18" t="s">
        <v>2327</v>
      </c>
      <c r="V198" s="19" t="str">
        <f>HYPERLINK("https://docs.google.com/open?id=0B5-iztf28QNJVkREd3VLTzFjQjQ","Divertor and Scrape-off-layer (DS) - gan -  Investigation of ELM heat flux footprints with the variation of ELM regime")</f>
        <v>Divertor and Scrape-off-layer (DS) - gan -  Investigation of ELM heat flux footprints with the variation of ELM regime</v>
      </c>
      <c r="W198" s="20" t="s">
        <v>2328</v>
      </c>
    </row>
    <row r="199">
      <c r="A199" s="17">
        <v>42057.5186815162</v>
      </c>
      <c r="B199" s="13" t="s">
        <v>2329</v>
      </c>
      <c r="C199" s="13" t="s">
        <v>770</v>
      </c>
      <c r="D199" s="13" t="s">
        <v>771</v>
      </c>
      <c r="E199" s="13" t="s">
        <v>772</v>
      </c>
      <c r="F199" s="13" t="s">
        <v>2330</v>
      </c>
      <c r="G199" s="13" t="s">
        <v>28</v>
      </c>
      <c r="H199" s="13" t="s">
        <v>29</v>
      </c>
      <c r="I199" s="13" t="s">
        <v>819</v>
      </c>
      <c r="J199" s="13" t="s">
        <v>47</v>
      </c>
      <c r="K199" s="13">
        <v>1.0</v>
      </c>
      <c r="L199" s="13">
        <v>0.0</v>
      </c>
      <c r="M199" s="13">
        <v>0.5</v>
      </c>
      <c r="N199" s="13" t="s">
        <v>2331</v>
      </c>
      <c r="O199" s="13" t="s">
        <v>2332</v>
      </c>
      <c r="P199" s="13" t="s">
        <v>2333</v>
      </c>
      <c r="Q199" s="18" t="s">
        <v>2334</v>
      </c>
      <c r="R199" s="19" t="str">
        <f>HYPERLINK("https://docs.google.com/open?id=0B5-iztf28QNJeFhPYk9WRFFVX2c","Advanced Scenarios and Control (ASC) - Boyer - Current profile controllability scoping study")</f>
        <v>Advanced Scenarios and Control (ASC) - Boyer - Current profile controllability scoping study</v>
      </c>
      <c r="S199" s="20" t="s">
        <v>2335</v>
      </c>
      <c r="T199" s="13" t="s">
        <v>2336</v>
      </c>
      <c r="U199" s="18" t="s">
        <v>2337</v>
      </c>
      <c r="V199" s="18" t="str">
        <f>HYPERLINK("https://docs.google.com/open?id=0B5-iztf28QNJbFhFSGl1SHdXbTQ","Wave Heating and Current Drive (RF) - Menard - Scoping study for core impurity reduction using HHFW")</f>
        <v>Wave Heating and Current Drive (RF) - Menard - Scoping study for core impurity reduction using HHFW</v>
      </c>
      <c r="W199" s="20" t="s">
        <v>2338</v>
      </c>
    </row>
    <row r="200">
      <c r="A200" s="17">
        <v>42057.59727618055</v>
      </c>
      <c r="B200" s="13" t="s">
        <v>2339</v>
      </c>
      <c r="C200" s="13" t="s">
        <v>42</v>
      </c>
      <c r="D200" s="13" t="s">
        <v>43</v>
      </c>
      <c r="E200" s="13" t="s">
        <v>44</v>
      </c>
      <c r="F200" s="13" t="s">
        <v>1953</v>
      </c>
      <c r="G200" s="13" t="s">
        <v>28</v>
      </c>
      <c r="H200" s="13" t="s">
        <v>29</v>
      </c>
      <c r="I200" s="13" t="s">
        <v>60</v>
      </c>
      <c r="J200" s="13" t="s">
        <v>2340</v>
      </c>
      <c r="K200" s="13">
        <v>1.0</v>
      </c>
      <c r="L200" s="13">
        <v>0.0</v>
      </c>
      <c r="M200" s="13">
        <v>0.5</v>
      </c>
      <c r="N200" s="13" t="s">
        <v>2341</v>
      </c>
      <c r="O200" s="13" t="s">
        <v>2342</v>
      </c>
      <c r="P200" s="13" t="s">
        <v>2343</v>
      </c>
      <c r="Q200" s="18" t="s">
        <v>2344</v>
      </c>
      <c r="R200" s="19" t="str">
        <f>HYPERLINK("https://docs.google.com/open?id=0B5-iztf28QNJUS1RMnpyalRKclU","Advanced Scenarios and Control (ASC) - Gerhardt - Combining High Non-Inductive Fraction Shot With Advanced Divertors")</f>
        <v>Advanced Scenarios and Control (ASC) - Gerhardt - Combining High Non-Inductive Fraction Shot With Advanced Divertors</v>
      </c>
      <c r="S200" s="20" t="s">
        <v>2345</v>
      </c>
      <c r="T200" s="13" t="s">
        <v>2346</v>
      </c>
      <c r="U200" s="18" t="s">
        <v>2347</v>
      </c>
      <c r="V200" s="19" t="str">
        <f>HYPERLINK("https://docs.google.com/open?id=0B5-iztf28QNJa2hZMDRtTEdxcUk","Advanced Scenarios and Control (ASC) - Gerhardt - Combining High Non-Inductive Fraction Shot With Advanced Divertors")</f>
        <v>Advanced Scenarios and Control (ASC) - Gerhardt - Combining High Non-Inductive Fraction Shot With Advanced Divertors</v>
      </c>
      <c r="W200" s="20" t="s">
        <v>2348</v>
      </c>
    </row>
    <row r="201">
      <c r="A201" s="17">
        <v>42057.612590289355</v>
      </c>
      <c r="B201" s="13" t="s">
        <v>2349</v>
      </c>
      <c r="C201" s="13" t="s">
        <v>2316</v>
      </c>
      <c r="D201" s="13" t="s">
        <v>2317</v>
      </c>
      <c r="E201" s="13" t="s">
        <v>2318</v>
      </c>
      <c r="F201" s="13" t="s">
        <v>2319</v>
      </c>
      <c r="G201" s="13" t="s">
        <v>270</v>
      </c>
      <c r="H201" s="13" t="s">
        <v>2320</v>
      </c>
      <c r="I201" s="13" t="s">
        <v>235</v>
      </c>
      <c r="J201" s="13" t="s">
        <v>47</v>
      </c>
      <c r="K201" s="13">
        <v>1.0</v>
      </c>
      <c r="L201" s="13">
        <v>0.0</v>
      </c>
      <c r="M201" s="13">
        <v>0.5</v>
      </c>
      <c r="N201" s="13" t="s">
        <v>2350</v>
      </c>
      <c r="O201" s="13" t="s">
        <v>2351</v>
      </c>
      <c r="P201" s="13" t="s">
        <v>2352</v>
      </c>
      <c r="Q201" s="18" t="s">
        <v>2353</v>
      </c>
      <c r="R201" s="19" t="str">
        <f>HYPERLINK("https://docs.google.com/open?id=0B5-iztf28QNJWFFjVnJ5TENVaU0","Pedestal Structure and Control (PS) - gan -  Interaction of LGI with 3D fields")</f>
        <v>Pedestal Structure and Control (PS) - gan -  Interaction of LGI with 3D fields</v>
      </c>
      <c r="S201" s="20" t="s">
        <v>2354</v>
      </c>
      <c r="T201" s="13" t="s">
        <v>2355</v>
      </c>
      <c r="U201" s="18" t="s">
        <v>2356</v>
      </c>
      <c r="V201" s="19" t="str">
        <f>HYPERLINK("https://docs.google.com/open?id=0B5-iztf28QNJYnpwNHpGS3BxTW8","Pedestal Structure and Control (PS) - gan -  Interaction of LGI with 3D fields")</f>
        <v>Pedestal Structure and Control (PS) - gan -  Interaction of LGI with 3D fields</v>
      </c>
      <c r="W201" s="20" t="s">
        <v>2357</v>
      </c>
    </row>
    <row r="202">
      <c r="A202" s="17">
        <v>42057.727005243054</v>
      </c>
      <c r="B202" s="13" t="s">
        <v>2358</v>
      </c>
      <c r="C202" s="13" t="s">
        <v>453</v>
      </c>
      <c r="D202" s="13" t="s">
        <v>454</v>
      </c>
      <c r="E202" s="13" t="s">
        <v>2359</v>
      </c>
      <c r="F202" s="13" t="s">
        <v>47</v>
      </c>
      <c r="G202" s="13" t="s">
        <v>28</v>
      </c>
      <c r="H202" s="13" t="s">
        <v>1178</v>
      </c>
      <c r="I202" s="13" t="s">
        <v>60</v>
      </c>
      <c r="J202" s="13" t="s">
        <v>2360</v>
      </c>
      <c r="K202" s="13">
        <v>2.0</v>
      </c>
      <c r="L202" s="13">
        <v>60.0</v>
      </c>
      <c r="M202" s="13">
        <v>1.0</v>
      </c>
      <c r="N202" s="13" t="s">
        <v>2361</v>
      </c>
      <c r="O202" s="13" t="s">
        <v>2362</v>
      </c>
      <c r="P202" s="13" t="s">
        <v>2363</v>
      </c>
      <c r="Q202" s="18" t="s">
        <v>2364</v>
      </c>
      <c r="R202" s="19" t="str">
        <f>HYPERLINK("https://docs.google.com/open?id=0B5-iztf28QNJdTBQc01BbnlWNjg","Advanced Scenarios and Control (ASC) - Kolemen - Controlled Snowflake Studies")</f>
        <v>Advanced Scenarios and Control (ASC) - Kolemen - Controlled Snowflake Studies</v>
      </c>
      <c r="S202" s="20" t="s">
        <v>2365</v>
      </c>
      <c r="T202" s="13" t="s">
        <v>2366</v>
      </c>
      <c r="U202" s="18" t="s">
        <v>2367</v>
      </c>
      <c r="V202" s="19" t="str">
        <f>HYPERLINK("https://docs.google.com/open?id=0B5-iztf28QNJbmtsa0lYdUcyX0k","Advanced Scenarios and Control (ASC) - Kolemen - Controlled Snowflake Studies")</f>
        <v>Advanced Scenarios and Control (ASC) - Kolemen - Controlled Snowflake Studies</v>
      </c>
      <c r="W202" s="20" t="s">
        <v>2368</v>
      </c>
    </row>
    <row r="203">
      <c r="A203" s="17">
        <v>42057.84358047453</v>
      </c>
      <c r="B203" s="13" t="s">
        <v>2369</v>
      </c>
      <c r="C203" s="13" t="s">
        <v>480</v>
      </c>
      <c r="D203" s="13" t="s">
        <v>480</v>
      </c>
      <c r="E203" s="13" t="s">
        <v>480</v>
      </c>
      <c r="F203" s="13" t="s">
        <v>480</v>
      </c>
      <c r="G203" s="13" t="s">
        <v>1577</v>
      </c>
      <c r="H203" s="13" t="s">
        <v>1577</v>
      </c>
      <c r="I203" s="13" t="s">
        <v>154</v>
      </c>
      <c r="J203" s="13" t="s">
        <v>47</v>
      </c>
      <c r="K203" s="13">
        <v>0.0</v>
      </c>
      <c r="L203" s="13">
        <v>0.0</v>
      </c>
      <c r="M203" s="13">
        <v>0.0</v>
      </c>
      <c r="N203" s="13" t="s">
        <v>480</v>
      </c>
      <c r="O203" s="13" t="s">
        <v>480</v>
      </c>
      <c r="P203" s="13" t="s">
        <v>2370</v>
      </c>
      <c r="Q203" s="18" t="s">
        <v>2371</v>
      </c>
      <c r="R203" s="19" t="str">
        <f>HYPERLINK("https://docs.google.com/open?id=0B5-iztf28QNJTHh1S0RjZUFsakE","Materials and PFCs (MP) - Allain - : Study of the chemical evolution during transition from B to Li-based conditioning on D retention in NSTX-U with the Materials Analysis Particle Probe (MAPP)")</f>
        <v>Materials and PFCs (MP) - Allain - : Study of the chemical evolution during transition from B to Li-based conditioning on D retention in NSTX-U with the Materials Analysis Particle Probe (MAPP)</v>
      </c>
      <c r="S203" s="20" t="s">
        <v>2372</v>
      </c>
      <c r="T203" s="13" t="s">
        <v>2373</v>
      </c>
      <c r="U203" s="18" t="s">
        <v>2374</v>
      </c>
      <c r="V203" s="19" t="str">
        <f>HYPERLINK("https://docs.google.com/open?id=0B5-iztf28QNJaXdPS2VmVEpNaVE","Cross-cutting and Enabling (CC) -   - deleted")</f>
        <v>Cross-cutting and Enabling (CC) -   - deleted</v>
      </c>
      <c r="W203" s="20" t="s">
        <v>2375</v>
      </c>
    </row>
    <row r="204">
      <c r="A204" s="17">
        <v>42057.726700949075</v>
      </c>
      <c r="B204" s="13" t="s">
        <v>2376</v>
      </c>
      <c r="C204" s="13" t="s">
        <v>453</v>
      </c>
      <c r="D204" s="13" t="s">
        <v>454</v>
      </c>
      <c r="E204" s="13" t="s">
        <v>2359</v>
      </c>
      <c r="F204" s="13" t="s">
        <v>47</v>
      </c>
      <c r="G204" s="13" t="s">
        <v>28</v>
      </c>
      <c r="H204" s="13" t="s">
        <v>1178</v>
      </c>
      <c r="I204" s="13" t="s">
        <v>580</v>
      </c>
      <c r="J204" s="13" t="s">
        <v>2377</v>
      </c>
      <c r="K204" s="13">
        <v>1.0</v>
      </c>
      <c r="L204" s="13">
        <v>0.0</v>
      </c>
      <c r="M204" s="13">
        <v>1.0</v>
      </c>
      <c r="N204" s="13" t="s">
        <v>2378</v>
      </c>
      <c r="O204" s="13" t="s">
        <v>2379</v>
      </c>
      <c r="P204" s="13" t="s">
        <v>2380</v>
      </c>
      <c r="Q204" s="18" t="s">
        <v>2381</v>
      </c>
      <c r="R204" s="19" t="str">
        <f>HYPERLINK("https://docs.google.com/open?id=0B5-iztf28QNJV0RseWczOVBlNWM","Divertor and Scrape-off-layer (DS) - Kolemen - Compare alternative advanced divertor configurations: X-divertor, Snowflake")</f>
        <v>Divertor and Scrape-off-layer (DS) - Kolemen - Compare alternative advanced divertor configurations: X-divertor, Snowflake</v>
      </c>
      <c r="S204" s="20" t="s">
        <v>2382</v>
      </c>
      <c r="T204" s="13" t="s">
        <v>2383</v>
      </c>
      <c r="U204" s="18" t="s">
        <v>2384</v>
      </c>
      <c r="V204" s="19" t="str">
        <f>HYPERLINK("https://docs.google.com/open?id=0B5-iztf28QNJendOWVR2X3lfTjQ","Divertor and Scrape-off-layer (DS) - Kolemen - Compare alternative advanced divertor configurations: X-divertor, Snowflake")</f>
        <v>Divertor and Scrape-off-layer (DS) - Kolemen - Compare alternative advanced divertor configurations: X-divertor, Snowflake</v>
      </c>
      <c r="W204" s="20" t="s">
        <v>2385</v>
      </c>
    </row>
    <row r="205">
      <c r="A205" s="17">
        <v>42057.72631114583</v>
      </c>
      <c r="B205" s="13" t="s">
        <v>2386</v>
      </c>
      <c r="C205" s="13" t="s">
        <v>453</v>
      </c>
      <c r="D205" s="13" t="s">
        <v>454</v>
      </c>
      <c r="E205" s="13" t="s">
        <v>2359</v>
      </c>
      <c r="F205" s="13" t="s">
        <v>47</v>
      </c>
      <c r="G205" s="13" t="s">
        <v>28</v>
      </c>
      <c r="H205" s="13" t="s">
        <v>1178</v>
      </c>
      <c r="I205" s="13" t="s">
        <v>60</v>
      </c>
      <c r="J205" s="13" t="s">
        <v>2387</v>
      </c>
      <c r="K205" s="13">
        <v>1.0</v>
      </c>
      <c r="L205" s="13">
        <v>1.0</v>
      </c>
      <c r="M205" s="13">
        <v>0.5</v>
      </c>
      <c r="N205" s="13" t="s">
        <v>2388</v>
      </c>
      <c r="O205" s="13" t="s">
        <v>2389</v>
      </c>
      <c r="P205" s="13" t="s">
        <v>2390</v>
      </c>
      <c r="Q205" s="18" t="s">
        <v>2391</v>
      </c>
      <c r="R205" s="19" t="str">
        <f>HYPERLINK("https://docs.google.com/open?id=0B5-iztf28QNJTHFWU2hOZTBrUnc","Advanced Scenarios and Control (ASC) - Kolemen - Radiation Control")</f>
        <v>Advanced Scenarios and Control (ASC) - Kolemen - Radiation Control</v>
      </c>
      <c r="S205" s="20" t="s">
        <v>2392</v>
      </c>
      <c r="T205" s="13" t="s">
        <v>2393</v>
      </c>
      <c r="U205" s="18" t="s">
        <v>2394</v>
      </c>
      <c r="V205" s="19" t="str">
        <f>HYPERLINK("https://docs.google.com/open?id=0B5-iztf28QNJcUhHN1ZBdkQtVFE","Advanced Scenarios and Control (ASC) - Kolemen - Radiation Control")</f>
        <v>Advanced Scenarios and Control (ASC) - Kolemen - Radiation Control</v>
      </c>
      <c r="W205" s="20" t="s">
        <v>2395</v>
      </c>
    </row>
    <row r="206">
      <c r="A206" s="17">
        <v>42057.72614604167</v>
      </c>
      <c r="B206" s="13" t="s">
        <v>2396</v>
      </c>
      <c r="C206" s="13" t="s">
        <v>453</v>
      </c>
      <c r="D206" s="13" t="s">
        <v>454</v>
      </c>
      <c r="E206" s="13" t="s">
        <v>2359</v>
      </c>
      <c r="F206" s="13" t="s">
        <v>47</v>
      </c>
      <c r="G206" s="13" t="s">
        <v>28</v>
      </c>
      <c r="H206" s="13" t="s">
        <v>1178</v>
      </c>
      <c r="I206" s="13" t="s">
        <v>580</v>
      </c>
      <c r="J206" s="13" t="s">
        <v>1605</v>
      </c>
      <c r="K206" s="13">
        <v>1.0</v>
      </c>
      <c r="L206" s="13">
        <v>1.0</v>
      </c>
      <c r="M206" s="13">
        <v>1.0</v>
      </c>
      <c r="N206" s="13" t="s">
        <v>2397</v>
      </c>
      <c r="O206" s="13" t="s">
        <v>2398</v>
      </c>
      <c r="P206" s="13" t="s">
        <v>2399</v>
      </c>
      <c r="Q206" s="18" t="s">
        <v>2400</v>
      </c>
      <c r="R206" s="19" t="str">
        <f>HYPERLINK("https://docs.google.com/open?id=0B5-iztf28QNJb0lpQlZ1RGp2RWs","Divertor and Scrape-off-layer (DS) - Kolemen - SOL Width Scaling: Goldston's Heuristic Drift Model vs Critical Pressure Gradient Model")</f>
        <v>Divertor and Scrape-off-layer (DS) - Kolemen - SOL Width Scaling: Goldston's Heuristic Drift Model vs Critical Pressure Gradient Model</v>
      </c>
      <c r="S206" s="20" t="s">
        <v>2401</v>
      </c>
      <c r="T206" s="13" t="s">
        <v>2402</v>
      </c>
      <c r="U206" s="18" t="s">
        <v>2403</v>
      </c>
      <c r="V206" s="19" t="str">
        <f>HYPERLINK("https://docs.google.com/open?id=0B5-iztf28QNJX0IzcHhUeEtaMmM","Divertor and Scrape-off-layer (DS) - Kolemen - SOL Width Scaling: Goldston's Heuristic Drift Model vs Critical Pressure Gradient Model")</f>
        <v>Divertor and Scrape-off-layer (DS) - Kolemen - SOL Width Scaling: Goldston's Heuristic Drift Model vs Critical Pressure Gradient Model</v>
      </c>
      <c r="W206" s="20" t="s">
        <v>2404</v>
      </c>
    </row>
    <row r="207">
      <c r="A207" s="17">
        <v>42057.725781956025</v>
      </c>
      <c r="B207" s="13" t="s">
        <v>2405</v>
      </c>
      <c r="C207" s="13" t="s">
        <v>453</v>
      </c>
      <c r="D207" s="13" t="s">
        <v>454</v>
      </c>
      <c r="E207" s="13" t="s">
        <v>2359</v>
      </c>
      <c r="F207" s="13" t="s">
        <v>47</v>
      </c>
      <c r="G207" s="13" t="s">
        <v>28</v>
      </c>
      <c r="H207" s="13" t="s">
        <v>1178</v>
      </c>
      <c r="I207" s="13" t="s">
        <v>580</v>
      </c>
      <c r="J207" s="13" t="s">
        <v>1605</v>
      </c>
      <c r="K207" s="13">
        <v>1.0</v>
      </c>
      <c r="L207" s="13">
        <v>0.5</v>
      </c>
      <c r="M207" s="13">
        <v>0.5</v>
      </c>
      <c r="N207" s="13" t="s">
        <v>2406</v>
      </c>
      <c r="O207" s="13" t="s">
        <v>2407</v>
      </c>
      <c r="P207" s="13" t="s">
        <v>2408</v>
      </c>
      <c r="Q207" s="18" t="s">
        <v>2409</v>
      </c>
      <c r="R207" s="19" t="str">
        <f>HYPERLINK("https://docs.google.com/open?id=0B5-iztf28QNJNC1UanJZeTdfcHc","Divertor and Scrape-off-layer (DS) - Kolemen - S parameter under 3D perturbations")</f>
        <v>Divertor and Scrape-off-layer (DS) - Kolemen - S parameter under 3D perturbations</v>
      </c>
      <c r="S207" s="20" t="s">
        <v>2410</v>
      </c>
      <c r="T207" s="13" t="s">
        <v>2411</v>
      </c>
      <c r="U207" s="18" t="s">
        <v>2412</v>
      </c>
      <c r="V207" s="19" t="str">
        <f>HYPERLINK("https://docs.google.com/open?id=0B5-iztf28QNJaFZSM3RlQXczM2s","Divertor and Scrape-off-layer (DS) - Kolemen - S parameter under 3D perturbations")</f>
        <v>Divertor and Scrape-off-layer (DS) - Kolemen - S parameter under 3D perturbations</v>
      </c>
      <c r="W207" s="20" t="s">
        <v>2413</v>
      </c>
    </row>
    <row r="208">
      <c r="A208" s="17">
        <v>42057.725562928244</v>
      </c>
      <c r="B208" s="13" t="s">
        <v>2414</v>
      </c>
      <c r="C208" s="13" t="s">
        <v>453</v>
      </c>
      <c r="D208" s="13" t="s">
        <v>454</v>
      </c>
      <c r="E208" s="13" t="s">
        <v>2359</v>
      </c>
      <c r="F208" s="13" t="s">
        <v>47</v>
      </c>
      <c r="G208" s="13" t="s">
        <v>28</v>
      </c>
      <c r="H208" s="13" t="s">
        <v>1178</v>
      </c>
      <c r="I208" s="13" t="s">
        <v>169</v>
      </c>
      <c r="J208" s="13" t="s">
        <v>47</v>
      </c>
      <c r="K208" s="13">
        <v>1.0</v>
      </c>
      <c r="L208" s="13">
        <v>1.0</v>
      </c>
      <c r="M208" s="13">
        <v>1.0</v>
      </c>
      <c r="N208" s="13" t="s">
        <v>2415</v>
      </c>
      <c r="O208" s="13" t="s">
        <v>2416</v>
      </c>
      <c r="P208" s="13" t="s">
        <v>2417</v>
      </c>
      <c r="Q208" s="18" t="s">
        <v>2418</v>
      </c>
      <c r="R208" s="19" t="str">
        <f>HYPERLINK("https://docs.google.com/open?id=0B5-iztf28QNJTkxWZlJLS3RFSUk","Macroscopic Stability (MS) - Kolemen - RMP NTM interaction")</f>
        <v>Macroscopic Stability (MS) - Kolemen - RMP NTM interaction</v>
      </c>
      <c r="S208" s="20" t="s">
        <v>2419</v>
      </c>
      <c r="T208" s="13" t="s">
        <v>2420</v>
      </c>
      <c r="U208" s="18" t="s">
        <v>2421</v>
      </c>
      <c r="V208" s="19" t="str">
        <f>HYPERLINK("https://docs.google.com/open?id=0B5-iztf28QNJZWNFWjBjUjVqZU0","Macroscopic Stability (MS) - Kolemen - RMP NTM interaction")</f>
        <v>Macroscopic Stability (MS) - Kolemen - RMP NTM interaction</v>
      </c>
      <c r="W208" s="20" t="s">
        <v>2422</v>
      </c>
    </row>
    <row r="209">
      <c r="A209" s="17">
        <v>42057.7299292824</v>
      </c>
      <c r="B209" s="13" t="s">
        <v>2423</v>
      </c>
      <c r="C209" s="13" t="s">
        <v>453</v>
      </c>
      <c r="D209" s="13" t="s">
        <v>454</v>
      </c>
      <c r="E209" s="13" t="s">
        <v>2359</v>
      </c>
      <c r="F209" s="13" t="s">
        <v>47</v>
      </c>
      <c r="G209" s="13" t="s">
        <v>28</v>
      </c>
      <c r="H209" s="13" t="s">
        <v>1178</v>
      </c>
      <c r="I209" s="13" t="s">
        <v>154</v>
      </c>
      <c r="J209" s="13" t="s">
        <v>727</v>
      </c>
      <c r="K209" s="13">
        <v>0.5</v>
      </c>
      <c r="L209" s="13">
        <v>0.5</v>
      </c>
      <c r="M209" s="13">
        <v>0.5</v>
      </c>
      <c r="N209" s="13" t="s">
        <v>2424</v>
      </c>
      <c r="O209" s="13" t="s">
        <v>2425</v>
      </c>
      <c r="P209" s="13" t="s">
        <v>2426</v>
      </c>
      <c r="Q209" s="18" t="s">
        <v>2427</v>
      </c>
      <c r="R209" s="19" t="str">
        <f>HYPERLINK("https://docs.google.com/open?id=0B5-iztf28QNJcHdQa0MyMGh1Vk0","Cross-cutting and Enabling (CC) - Kolemen - Real-time adaptive EFC")</f>
        <v>Cross-cutting and Enabling (CC) - Kolemen - Real-time adaptive EFC</v>
      </c>
      <c r="S209" s="20" t="s">
        <v>2428</v>
      </c>
      <c r="T209" s="13" t="s">
        <v>2429</v>
      </c>
      <c r="U209" s="18" t="s">
        <v>2430</v>
      </c>
      <c r="V209" s="19" t="str">
        <f>HYPERLINK("https://docs.google.com/open?id=0B5-iztf28QNJZTNEX1FGdi00NkU","Cross-cutting and Enabling (CC) - Kolemen - Real-time adaptive EFC")</f>
        <v>Cross-cutting and Enabling (CC) - Kolemen - Real-time adaptive EFC</v>
      </c>
      <c r="W209" s="20" t="s">
        <v>2431</v>
      </c>
    </row>
    <row r="210">
      <c r="A210" s="17">
        <v>42057.725011180555</v>
      </c>
      <c r="B210" s="13" t="s">
        <v>2432</v>
      </c>
      <c r="C210" s="13" t="s">
        <v>453</v>
      </c>
      <c r="D210" s="13" t="s">
        <v>454</v>
      </c>
      <c r="E210" s="13" t="s">
        <v>2359</v>
      </c>
      <c r="F210" s="13" t="s">
        <v>47</v>
      </c>
      <c r="G210" s="13" t="s">
        <v>28</v>
      </c>
      <c r="H210" s="13" t="s">
        <v>1178</v>
      </c>
      <c r="I210" s="13" t="s">
        <v>154</v>
      </c>
      <c r="J210" s="13" t="s">
        <v>727</v>
      </c>
      <c r="K210" s="13">
        <v>0.5</v>
      </c>
      <c r="L210" s="13">
        <v>0.5</v>
      </c>
      <c r="M210" s="13">
        <v>0.5</v>
      </c>
      <c r="N210" s="13" t="s">
        <v>2433</v>
      </c>
      <c r="O210" s="13" t="s">
        <v>2425</v>
      </c>
      <c r="P210" s="13" t="s">
        <v>2434</v>
      </c>
      <c r="Q210" s="18" t="s">
        <v>2435</v>
      </c>
      <c r="R210" s="19" t="str">
        <f>HYPERLINK("https://docs.google.com/open?id=0B5-iztf28QNJZVNHYzh0aVR4Y2s","Cross-cutting and Enabling (CC) - Kolemen - Real-time adaptive EFC")</f>
        <v>Cross-cutting and Enabling (CC) - Kolemen - Real-time adaptive EFC</v>
      </c>
      <c r="S210" s="20" t="s">
        <v>2436</v>
      </c>
      <c r="T210" s="13" t="s">
        <v>2437</v>
      </c>
      <c r="U210" s="18" t="s">
        <v>2438</v>
      </c>
      <c r="V210" s="19" t="str">
        <f>HYPERLINK("https://docs.google.com/open?id=0B5-iztf28QNJVml5dzU4UDU4QXc","Cross-cutting and Enabling (CC) - Kolemen - Real-time adaptive EFC and ELM Control")</f>
        <v>Cross-cutting and Enabling (CC) - Kolemen - Real-time adaptive EFC and ELM Control</v>
      </c>
      <c r="W210" s="20" t="s">
        <v>2439</v>
      </c>
    </row>
    <row r="211">
      <c r="A211" s="17">
        <v>42057.85609493056</v>
      </c>
      <c r="B211" s="13" t="s">
        <v>2440</v>
      </c>
      <c r="C211" s="13" t="s">
        <v>453</v>
      </c>
      <c r="D211" s="13" t="s">
        <v>454</v>
      </c>
      <c r="E211" s="13" t="s">
        <v>2359</v>
      </c>
      <c r="F211" s="13" t="s">
        <v>47</v>
      </c>
      <c r="G211" s="13" t="s">
        <v>28</v>
      </c>
      <c r="H211" s="13" t="s">
        <v>1178</v>
      </c>
      <c r="I211" s="13" t="s">
        <v>169</v>
      </c>
      <c r="J211" s="13" t="s">
        <v>2441</v>
      </c>
      <c r="K211" s="13">
        <v>1.0</v>
      </c>
      <c r="L211" s="13">
        <v>1.0</v>
      </c>
      <c r="M211" s="13">
        <v>0.5</v>
      </c>
      <c r="N211" s="13" t="s">
        <v>2442</v>
      </c>
      <c r="O211" s="13" t="s">
        <v>2443</v>
      </c>
      <c r="P211" s="13" t="s">
        <v>2444</v>
      </c>
      <c r="Q211" s="18" t="s">
        <v>2445</v>
      </c>
      <c r="R211" s="19" t="str">
        <f>HYPERLINK("https://docs.google.com/open?id=0B5-iztf28QNJS1Y2azM1YlltWFk","Advanced Scenarios and Control (ASC) - Kolemen - Expand the operational limit by real-time adaptive EFC")</f>
        <v>Advanced Scenarios and Control (ASC) - Kolemen - Expand the operational limit by real-time adaptive EFC</v>
      </c>
      <c r="S211" s="20" t="s">
        <v>2446</v>
      </c>
      <c r="T211" s="13" t="s">
        <v>2447</v>
      </c>
      <c r="U211" s="18" t="s">
        <v>2448</v>
      </c>
      <c r="V211" s="19" t="str">
        <f>HYPERLINK("https://docs.google.com/open?id=0B5-iztf28QNJeHVQMkgtRThfM3M","Macroscopic Stability (MS) - Kolemen - Expand the operational limit by real-time adaptive EFC")</f>
        <v>Macroscopic Stability (MS) - Kolemen - Expand the operational limit by real-time adaptive EFC</v>
      </c>
      <c r="W211" s="20" t="s">
        <v>2449</v>
      </c>
    </row>
    <row r="212">
      <c r="A212" s="17">
        <v>42057.724295844906</v>
      </c>
      <c r="B212" s="13" t="s">
        <v>2450</v>
      </c>
      <c r="C212" s="13" t="s">
        <v>453</v>
      </c>
      <c r="D212" s="13" t="s">
        <v>454</v>
      </c>
      <c r="E212" s="13" t="s">
        <v>2359</v>
      </c>
      <c r="F212" s="13" t="s">
        <v>47</v>
      </c>
      <c r="G212" s="13" t="s">
        <v>28</v>
      </c>
      <c r="H212" s="13" t="s">
        <v>1178</v>
      </c>
      <c r="I212" s="13" t="s">
        <v>60</v>
      </c>
      <c r="J212" s="13" t="s">
        <v>47</v>
      </c>
      <c r="K212" s="13">
        <v>1.0</v>
      </c>
      <c r="L212" s="13">
        <v>0.0</v>
      </c>
      <c r="M212" s="13">
        <v>0.5</v>
      </c>
      <c r="N212" s="13" t="s">
        <v>2451</v>
      </c>
      <c r="O212" s="13" t="s">
        <v>2452</v>
      </c>
      <c r="P212" s="13" t="s">
        <v>2453</v>
      </c>
      <c r="Q212" s="18" t="s">
        <v>2454</v>
      </c>
      <c r="R212" s="19" t="str">
        <f>HYPERLINK("https://docs.google.com/open?id=0B5-iztf28QNJcDZ0UnRJNUlDeU0","Advanced Scenarios and Control (ASC) - Kolemen - Adaptive ELM control (Can RMP ELM Control be reliably used in ITER (or a reactor)?)")</f>
        <v>Advanced Scenarios and Control (ASC) - Kolemen - Adaptive ELM control (Can RMP ELM Control be reliably used in ITER (or a reactor)?)</v>
      </c>
      <c r="S212" s="20" t="s">
        <v>2455</v>
      </c>
      <c r="T212" s="13" t="s">
        <v>2456</v>
      </c>
      <c r="U212" s="18" t="s">
        <v>2457</v>
      </c>
      <c r="V212" s="19" t="str">
        <f>HYPERLINK("https://docs.google.com/open?id=0B5-iztf28QNJR2toSmtEaUpFdVE","Advanced Scenarios and Control (ASC) - Kolemen - Adaptive ELM control (Can RMP ELM Control be reliably used in ITER (or a reactor)?)")</f>
        <v>Advanced Scenarios and Control (ASC) - Kolemen - Adaptive ELM control (Can RMP ELM Control be reliably used in ITER (or a reactor)?)</v>
      </c>
      <c r="W212" s="20" t="s">
        <v>2458</v>
      </c>
    </row>
    <row r="213">
      <c r="A213" s="17">
        <v>42057.72390002315</v>
      </c>
      <c r="B213" s="13" t="s">
        <v>2459</v>
      </c>
      <c r="C213" s="13" t="s">
        <v>453</v>
      </c>
      <c r="D213" s="13" t="s">
        <v>454</v>
      </c>
      <c r="E213" s="13" t="s">
        <v>2359</v>
      </c>
      <c r="F213" s="13" t="s">
        <v>47</v>
      </c>
      <c r="G213" s="13" t="s">
        <v>28</v>
      </c>
      <c r="H213" s="13" t="s">
        <v>1178</v>
      </c>
      <c r="I213" s="13" t="s">
        <v>60</v>
      </c>
      <c r="J213" s="13" t="s">
        <v>727</v>
      </c>
      <c r="K213" s="13">
        <v>1.0</v>
      </c>
      <c r="L213" s="13">
        <v>1.0</v>
      </c>
      <c r="M213" s="13">
        <v>0.5</v>
      </c>
      <c r="N213" s="13" t="s">
        <v>2460</v>
      </c>
      <c r="O213" s="13" t="s">
        <v>2461</v>
      </c>
      <c r="P213" s="13" t="s">
        <v>2462</v>
      </c>
      <c r="Q213" s="18" t="s">
        <v>2463</v>
      </c>
      <c r="R213" s="19" t="str">
        <f>HYPERLINK("https://docs.google.com/open?id=0B5-iztf28QNJY3pDOHdJSC14aWc","Advanced Scenarios and Control (ASC) - Kolemen - 3D coil based BetaN control instead of NBI based BetaN control")</f>
        <v>Advanced Scenarios and Control (ASC) - Kolemen - 3D coil based BetaN control instead of NBI based BetaN control</v>
      </c>
      <c r="S213" s="20" t="s">
        <v>2464</v>
      </c>
      <c r="T213" s="13" t="s">
        <v>2465</v>
      </c>
      <c r="U213" s="18" t="s">
        <v>2466</v>
      </c>
      <c r="V213" s="19" t="str">
        <f>HYPERLINK("https://docs.google.com/open?id=0B5-iztf28QNJZkVOVy1KcFg3aWs","Advanced Scenarios and Control (ASC) - Kolemen - 3D coil based BetaN control instead of NBI based BetaN control")</f>
        <v>Advanced Scenarios and Control (ASC) - Kolemen - 3D coil based BetaN control instead of NBI based BetaN control</v>
      </c>
      <c r="W213" s="20" t="s">
        <v>2467</v>
      </c>
    </row>
    <row r="214">
      <c r="A214" s="17">
        <v>42057.78428864583</v>
      </c>
      <c r="B214" s="13" t="s">
        <v>2468</v>
      </c>
      <c r="C214" s="13" t="s">
        <v>453</v>
      </c>
      <c r="D214" s="13" t="s">
        <v>454</v>
      </c>
      <c r="E214" s="13" t="s">
        <v>2359</v>
      </c>
      <c r="F214" s="13" t="s">
        <v>47</v>
      </c>
      <c r="G214" s="13" t="s">
        <v>28</v>
      </c>
      <c r="H214" s="13" t="s">
        <v>1178</v>
      </c>
      <c r="I214" s="13" t="s">
        <v>154</v>
      </c>
      <c r="J214" s="13" t="s">
        <v>727</v>
      </c>
      <c r="K214" s="13">
        <v>1.0</v>
      </c>
      <c r="L214" s="13">
        <v>1.0</v>
      </c>
      <c r="M214" s="13">
        <v>0.5</v>
      </c>
      <c r="N214" s="13" t="s">
        <v>2469</v>
      </c>
      <c r="O214" s="13" t="s">
        <v>2470</v>
      </c>
      <c r="P214" s="13" t="s">
        <v>2471</v>
      </c>
      <c r="Q214" s="18" t="s">
        <v>2472</v>
      </c>
      <c r="R214" s="19" t="str">
        <f>HYPERLINK("https://docs.google.com/open?id=0B5-iztf28QNJenplVFdIZmcwbVk","Cross-cutting and Enabling (CC) - Kolemen - Rotation Control using 3D coils")</f>
        <v>Cross-cutting and Enabling (CC) - Kolemen - Rotation Control using 3D coils</v>
      </c>
      <c r="S214" s="20" t="s">
        <v>2473</v>
      </c>
      <c r="T214" s="13" t="s">
        <v>2474</v>
      </c>
      <c r="U214" s="18" t="s">
        <v>2475</v>
      </c>
      <c r="V214" s="19" t="str">
        <f>HYPERLINK("https://docs.google.com/open?id=0B5-iztf28QNJeVh1NjBVSXRIMkU","Cross-cutting and Enabling (CC) - Kolemen - Rotation Control using 3D coils")</f>
        <v>Cross-cutting and Enabling (CC) - Kolemen - Rotation Control using 3D coils</v>
      </c>
      <c r="W214" s="20" t="s">
        <v>2476</v>
      </c>
    </row>
    <row r="215">
      <c r="A215" s="17">
        <v>42057.78486674769</v>
      </c>
      <c r="B215" s="13" t="s">
        <v>2477</v>
      </c>
      <c r="C215" s="13" t="s">
        <v>453</v>
      </c>
      <c r="D215" s="13" t="s">
        <v>454</v>
      </c>
      <c r="E215" s="13" t="s">
        <v>2359</v>
      </c>
      <c r="F215" s="13" t="s">
        <v>47</v>
      </c>
      <c r="G215" s="13" t="s">
        <v>28</v>
      </c>
      <c r="H215" s="13" t="s">
        <v>1178</v>
      </c>
      <c r="I215" s="13" t="s">
        <v>154</v>
      </c>
      <c r="J215" s="13" t="s">
        <v>2441</v>
      </c>
      <c r="K215" s="13">
        <v>2.0</v>
      </c>
      <c r="L215" s="13">
        <v>2.0</v>
      </c>
      <c r="M215" s="13">
        <v>1.0</v>
      </c>
      <c r="N215" s="13" t="s">
        <v>2478</v>
      </c>
      <c r="O215" s="13" t="s">
        <v>2479</v>
      </c>
      <c r="P215" s="13" t="s">
        <v>2480</v>
      </c>
      <c r="Q215" s="18" t="s">
        <v>2481</v>
      </c>
      <c r="R215" s="19" t="str">
        <f>HYPERLINK("https://docs.google.com/open?id=0B5-iztf28QNJV0NLWVhSWkRhWWc","Cross-cutting and Enabling (CC) - Kolemen - Full shape control development")</f>
        <v>Cross-cutting and Enabling (CC) - Kolemen - Full shape control development</v>
      </c>
      <c r="S215" s="20" t="s">
        <v>2482</v>
      </c>
      <c r="T215" s="13" t="s">
        <v>2483</v>
      </c>
      <c r="U215" s="18" t="s">
        <v>2484</v>
      </c>
      <c r="V215" s="19" t="str">
        <f>HYPERLINK("https://docs.google.com/open?id=0B5-iztf28QNJUHg4c3NSazhpcEU","Cross-cutting and Enabling (CC) - Kolemen - Full shape control development")</f>
        <v>Cross-cutting and Enabling (CC) - Kolemen - Full shape control development</v>
      </c>
      <c r="W215" s="20" t="s">
        <v>2485</v>
      </c>
    </row>
    <row r="216">
      <c r="A216" s="17">
        <v>42057.755186932874</v>
      </c>
      <c r="B216" s="13" t="s">
        <v>2486</v>
      </c>
      <c r="C216" s="13" t="s">
        <v>205</v>
      </c>
      <c r="D216" s="13" t="s">
        <v>206</v>
      </c>
      <c r="E216" s="13" t="s">
        <v>207</v>
      </c>
      <c r="F216" s="13" t="s">
        <v>2487</v>
      </c>
      <c r="G216" s="13" t="s">
        <v>28</v>
      </c>
      <c r="H216" s="13" t="s">
        <v>29</v>
      </c>
      <c r="I216" s="13" t="s">
        <v>819</v>
      </c>
      <c r="J216" s="13" t="s">
        <v>2488</v>
      </c>
      <c r="K216" s="13">
        <v>1.5</v>
      </c>
      <c r="L216" s="13">
        <v>0.0</v>
      </c>
      <c r="M216" s="13">
        <v>1.0</v>
      </c>
      <c r="N216" s="13" t="s">
        <v>2489</v>
      </c>
      <c r="O216" s="13" t="s">
        <v>2490</v>
      </c>
      <c r="P216" s="13" t="s">
        <v>2491</v>
      </c>
      <c r="Q216" s="18" t="s">
        <v>2492</v>
      </c>
      <c r="R216" s="19" t="str">
        <f>HYPERLINK("https://docs.google.com/open?id=0B5-iztf28QNJTERhVGdNMXpnT2s","Wave Heating and Current Drive (RF) - Perkins - Characterizing the SOL Losses of HHFW Power in H-Mode Plasmas ")</f>
        <v>Wave Heating and Current Drive (RF) - Perkins - Characterizing the SOL Losses of HHFW Power in H-Mode Plasmas </v>
      </c>
      <c r="S216" s="20" t="s">
        <v>2493</v>
      </c>
      <c r="T216" s="13" t="s">
        <v>2494</v>
      </c>
      <c r="U216" s="18" t="s">
        <v>2495</v>
      </c>
      <c r="V216" s="19" t="str">
        <f>HYPERLINK("https://docs.google.com/open?id=0B5-iztf28QNJb0ZPYi1pT001Rlk","Wave Heating and Current Drive (RF) - Perkins - Characterizing the SOL Losses of HHFW Power in H-Mode Plasmas ")</f>
        <v>Wave Heating and Current Drive (RF) - Perkins - Characterizing the SOL Losses of HHFW Power in H-Mode Plasmas </v>
      </c>
      <c r="W216" s="20" t="s">
        <v>2496</v>
      </c>
    </row>
    <row r="217">
      <c r="A217" s="17">
        <v>42057.785610416664</v>
      </c>
      <c r="B217" s="13" t="s">
        <v>2497</v>
      </c>
      <c r="C217" s="13" t="s">
        <v>453</v>
      </c>
      <c r="D217" s="13" t="s">
        <v>454</v>
      </c>
      <c r="E217" s="13" t="s">
        <v>2359</v>
      </c>
      <c r="F217" s="13" t="s">
        <v>47</v>
      </c>
      <c r="G217" s="13" t="s">
        <v>28</v>
      </c>
      <c r="H217" s="13" t="s">
        <v>1178</v>
      </c>
      <c r="I217" s="13" t="s">
        <v>592</v>
      </c>
      <c r="J217" s="13" t="s">
        <v>1605</v>
      </c>
      <c r="K217" s="13">
        <v>1.0</v>
      </c>
      <c r="L217" s="13">
        <v>0.5</v>
      </c>
      <c r="M217" s="13">
        <v>0.5</v>
      </c>
      <c r="N217" s="13" t="s">
        <v>2498</v>
      </c>
      <c r="O217" s="13" t="s">
        <v>2499</v>
      </c>
      <c r="P217" s="13" t="s">
        <v>2500</v>
      </c>
      <c r="Q217" s="18" t="s">
        <v>2501</v>
      </c>
      <c r="R217" s="19" t="str">
        <f>HYPERLINK("https://docs.google.com/open?id=0B5-iztf28QNJam9lSWZCMlBnaGc","Particle Control Task Force (PC) - Kolemen -  Core, Edge and Divertor Radiation variation with respect to different species and gas injection locations")</f>
        <v>Particle Control Task Force (PC) - Kolemen -  Core, Edge and Divertor Radiation variation with respect to different species and gas injection locations</v>
      </c>
      <c r="S217" s="20" t="s">
        <v>2502</v>
      </c>
      <c r="T217" s="13" t="s">
        <v>2503</v>
      </c>
      <c r="U217" s="18" t="s">
        <v>2504</v>
      </c>
      <c r="V217" s="19" t="str">
        <f>HYPERLINK("https://docs.google.com/open?id=0B5-iztf28QNJRFhYbTlWUDVSQU0","Particle Control Task Force (PC) - Kolemen -  Core, Edge and Divertor Radiation variation with respect to different species and gas injection locations")</f>
        <v>Particle Control Task Force (PC) - Kolemen -  Core, Edge and Divertor Radiation variation with respect to different species and gas injection locations</v>
      </c>
      <c r="W217" s="20" t="s">
        <v>2496</v>
      </c>
    </row>
    <row r="218">
      <c r="A218" s="17">
        <v>42059.711423912035</v>
      </c>
      <c r="B218" s="13" t="s">
        <v>2505</v>
      </c>
      <c r="C218" s="13" t="s">
        <v>1423</v>
      </c>
      <c r="D218" s="13" t="s">
        <v>2506</v>
      </c>
      <c r="E218" s="13" t="s">
        <v>2507</v>
      </c>
      <c r="F218" s="13" t="s">
        <v>1539</v>
      </c>
      <c r="G218" s="13" t="s">
        <v>28</v>
      </c>
      <c r="H218" s="13" t="s">
        <v>1178</v>
      </c>
      <c r="I218" s="13" t="s">
        <v>580</v>
      </c>
      <c r="J218" s="13" t="s">
        <v>1605</v>
      </c>
      <c r="K218" s="13">
        <v>1.0</v>
      </c>
      <c r="L218" s="13">
        <v>0.0</v>
      </c>
      <c r="M218" s="13">
        <v>0.5</v>
      </c>
      <c r="N218" s="13" t="s">
        <v>2508</v>
      </c>
      <c r="O218" s="13" t="s">
        <v>2509</v>
      </c>
      <c r="P218" s="13" t="s">
        <v>2510</v>
      </c>
      <c r="Q218" s="18" t="s">
        <v>2511</v>
      </c>
      <c r="R218" s="19" t="str">
        <f>HYPERLINK("https://docs.google.com/open?id=0B5-iztf28QNJNW1KNjRiak0tV0E","Divertor and Scrape-off-layer (DS) - Eldon - Detachment comparison study for Snowflake, X-divertor, Standard Divertor and long/short divertor leg")</f>
        <v>Divertor and Scrape-off-layer (DS) - Eldon - Detachment comparison study for Snowflake, X-divertor, Standard Divertor and long/short divertor leg</v>
      </c>
      <c r="S218" s="20" t="s">
        <v>2512</v>
      </c>
      <c r="T218" s="13" t="s">
        <v>2513</v>
      </c>
      <c r="U218" s="18" t="s">
        <v>2514</v>
      </c>
      <c r="V218" s="19" t="str">
        <f>HYPERLINK("https://docs.google.com/open?id=0B5-iztf28QNJNExBUkJjb3hZaVE","Divertor and Scrape-off-layer (DS) - Eldon - Detachment comparison study for Snowflake, X-divertor, Standard Divertor and long/short divertor leg")</f>
        <v>Divertor and Scrape-off-layer (DS) - Eldon - Detachment comparison study for Snowflake, X-divertor, Standard Divertor and long/short divertor leg</v>
      </c>
      <c r="W218" s="20" t="s">
        <v>2515</v>
      </c>
    </row>
    <row r="219">
      <c r="A219" s="17">
        <v>42057.79718434028</v>
      </c>
      <c r="B219" s="13" t="s">
        <v>2516</v>
      </c>
      <c r="C219" s="13" t="s">
        <v>453</v>
      </c>
      <c r="D219" s="13" t="s">
        <v>454</v>
      </c>
      <c r="E219" s="13" t="s">
        <v>2359</v>
      </c>
      <c r="F219" s="13" t="s">
        <v>47</v>
      </c>
      <c r="G219" s="13" t="s">
        <v>28</v>
      </c>
      <c r="H219" s="13" t="s">
        <v>1178</v>
      </c>
      <c r="I219" s="13" t="s">
        <v>154</v>
      </c>
      <c r="J219" s="13" t="s">
        <v>2517</v>
      </c>
      <c r="K219" s="13">
        <v>0.5</v>
      </c>
      <c r="L219" s="13">
        <v>0.5</v>
      </c>
      <c r="M219" s="13">
        <v>0.5</v>
      </c>
      <c r="N219" s="13" t="s">
        <v>2518</v>
      </c>
      <c r="O219" s="13" t="s">
        <v>2519</v>
      </c>
      <c r="P219" s="13" t="s">
        <v>2520</v>
      </c>
      <c r="Q219" s="18" t="s">
        <v>2521</v>
      </c>
      <c r="R219" s="19" t="str">
        <f>HYPERLINK("https://docs.google.com/open?id=0B5-iztf28QNJQk1RUXRZYzk2MGM","Cross-cutting and Enabling (CC) - Kolemen - LGI Control")</f>
        <v>Cross-cutting and Enabling (CC) - Kolemen - LGI Control</v>
      </c>
      <c r="S219" s="20" t="s">
        <v>2522</v>
      </c>
      <c r="T219" s="13" t="s">
        <v>2523</v>
      </c>
      <c r="U219" s="18" t="s">
        <v>2524</v>
      </c>
      <c r="V219" s="19" t="str">
        <f>HYPERLINK("https://docs.google.com/open?id=0B5-iztf28QNJUjVoT0pGQnd0Y2M","Cross-cutting and Enabling (CC) - Kolemen - LGI Control")</f>
        <v>Cross-cutting and Enabling (CC) - Kolemen - LGI Control</v>
      </c>
      <c r="W219" s="20" t="s">
        <v>2525</v>
      </c>
    </row>
    <row r="220">
      <c r="A220" s="17">
        <v>42057.83621611111</v>
      </c>
      <c r="B220" s="13" t="s">
        <v>2526</v>
      </c>
      <c r="C220" s="13" t="s">
        <v>453</v>
      </c>
      <c r="D220" s="13" t="s">
        <v>454</v>
      </c>
      <c r="E220" s="13" t="s">
        <v>2359</v>
      </c>
      <c r="F220" s="13" t="s">
        <v>47</v>
      </c>
      <c r="G220" s="13" t="s">
        <v>28</v>
      </c>
      <c r="H220" s="13" t="s">
        <v>1178</v>
      </c>
      <c r="I220" s="13" t="s">
        <v>60</v>
      </c>
      <c r="J220" s="13" t="s">
        <v>727</v>
      </c>
      <c r="K220" s="13">
        <v>1.0</v>
      </c>
      <c r="L220" s="13">
        <v>1.0</v>
      </c>
      <c r="M220" s="13">
        <v>0.5</v>
      </c>
      <c r="N220" s="13" t="s">
        <v>2527</v>
      </c>
      <c r="O220" s="13" t="s">
        <v>2528</v>
      </c>
      <c r="P220" s="13" t="s">
        <v>2529</v>
      </c>
      <c r="Q220" s="18" t="s">
        <v>2530</v>
      </c>
      <c r="R220" s="19" t="str">
        <f>HYPERLINK("https://docs.google.com/open?id=0B5-iztf28QNJQUZHVEpraVJxVDA","Advanced Scenarios and Control (ASC) - Kolemen - Vertical growth rate  and maximum controllable displacement for NSTX-U")</f>
        <v>Advanced Scenarios and Control (ASC) - Kolemen - Vertical growth rate  and maximum controllable displacement for NSTX-U</v>
      </c>
      <c r="S220" s="20" t="s">
        <v>2531</v>
      </c>
      <c r="T220" s="13" t="s">
        <v>2532</v>
      </c>
      <c r="U220" s="18" t="s">
        <v>2533</v>
      </c>
      <c r="V220" s="19" t="str">
        <f>HYPERLINK("https://docs.google.com/open?id=0B5-iztf28QNJVklvRnoxRmVaTk0","Advanced Scenarios and Control (ASC) - Kolemen - Vertical growth rate  and maximum controllable displacement for NSTX-U")</f>
        <v>Advanced Scenarios and Control (ASC) - Kolemen - Vertical growth rate  and maximum controllable displacement for NSTX-U</v>
      </c>
      <c r="W220" s="20" t="s">
        <v>2534</v>
      </c>
    </row>
    <row r="221">
      <c r="A221" s="17">
        <v>42057.83562842593</v>
      </c>
      <c r="B221" s="13" t="s">
        <v>2535</v>
      </c>
      <c r="C221" s="13" t="s">
        <v>453</v>
      </c>
      <c r="D221" s="13" t="s">
        <v>454</v>
      </c>
      <c r="E221" s="13" t="s">
        <v>2359</v>
      </c>
      <c r="F221" s="13" t="s">
        <v>47</v>
      </c>
      <c r="G221" s="13" t="s">
        <v>28</v>
      </c>
      <c r="H221" s="13" t="s">
        <v>1178</v>
      </c>
      <c r="I221" s="13" t="s">
        <v>592</v>
      </c>
      <c r="J221" s="13" t="s">
        <v>2536</v>
      </c>
      <c r="K221" s="13">
        <v>1.0</v>
      </c>
      <c r="L221" s="13">
        <v>0.0</v>
      </c>
      <c r="M221" s="13">
        <v>0.5</v>
      </c>
      <c r="N221" s="13" t="s">
        <v>2537</v>
      </c>
      <c r="O221" s="13" t="s">
        <v>47</v>
      </c>
      <c r="P221" s="13" t="s">
        <v>2538</v>
      </c>
      <c r="Q221" s="18" t="s">
        <v>2539</v>
      </c>
      <c r="R221" s="19" t="str">
        <f>HYPERLINK("https://docs.google.com/open?id=0B5-iztf28QNJRzZTaV91SjRkWnM","Particle Control Task Force (PC) - Kolemen - EHO 3D coil interaction (possible control)")</f>
        <v>Particle Control Task Force (PC) - Kolemen - EHO 3D coil interaction (possible control)</v>
      </c>
      <c r="S221" s="20" t="s">
        <v>2540</v>
      </c>
      <c r="T221" s="13" t="s">
        <v>2541</v>
      </c>
      <c r="U221" s="18" t="s">
        <v>2542</v>
      </c>
      <c r="V221" s="19" t="str">
        <f>HYPERLINK("https://docs.google.com/open?id=0B5-iztf28QNJd29kbHplZF9DS1E","Particle Control Task Force (PC) - Kolemen - EHO 3D coil interaction (possible control)")</f>
        <v>Particle Control Task Force (PC) - Kolemen - EHO 3D coil interaction (possible control)</v>
      </c>
      <c r="W221" s="20" t="s">
        <v>2543</v>
      </c>
    </row>
    <row r="222">
      <c r="A222" s="17">
        <v>42057.86312255787</v>
      </c>
      <c r="B222" s="13" t="s">
        <v>2544</v>
      </c>
      <c r="C222" s="13" t="s">
        <v>2545</v>
      </c>
      <c r="D222" s="13" t="s">
        <v>2546</v>
      </c>
      <c r="E222" s="13" t="s">
        <v>2547</v>
      </c>
      <c r="F222" s="13" t="s">
        <v>2548</v>
      </c>
      <c r="G222" s="13" t="s">
        <v>28</v>
      </c>
      <c r="H222" s="13" t="s">
        <v>1178</v>
      </c>
      <c r="I222" s="13" t="s">
        <v>663</v>
      </c>
      <c r="J222" s="13" t="s">
        <v>47</v>
      </c>
      <c r="K222" s="13">
        <v>1.0</v>
      </c>
      <c r="L222" s="13">
        <v>0.0</v>
      </c>
      <c r="M222" s="13">
        <v>0.5</v>
      </c>
      <c r="N222" s="13" t="s">
        <v>2549</v>
      </c>
      <c r="O222" s="13" t="s">
        <v>2550</v>
      </c>
      <c r="P222" s="13" t="s">
        <v>2551</v>
      </c>
      <c r="Q222" s="18" t="s">
        <v>2552</v>
      </c>
      <c r="R222" s="19" t="str">
        <f>HYPERLINK("https://docs.google.com/open?id=0B5-iztf28QNJVkVLaG9nUkdTS0U","Turbulence and Transport (TT) - Mandell - Investigating small-scale edge turbulence with GPI")</f>
        <v>Turbulence and Transport (TT) - Mandell - Investigating small-scale edge turbulence with GPI</v>
      </c>
      <c r="S222" s="20" t="s">
        <v>2553</v>
      </c>
      <c r="T222" s="13" t="s">
        <v>2554</v>
      </c>
      <c r="U222" s="18" t="s">
        <v>2555</v>
      </c>
      <c r="V222" s="19" t="str">
        <f>HYPERLINK("https://docs.google.com/open?id=0B5-iztf28QNJRU1NZ0pIWnp1UlU","Turbulence and Transport (TT) - Mandell - Investigating small-scale edge turbulence with GPI")</f>
        <v>Turbulence and Transport (TT) - Mandell - Investigating small-scale edge turbulence with GPI</v>
      </c>
      <c r="W222" s="20" t="s">
        <v>2556</v>
      </c>
    </row>
    <row r="223">
      <c r="A223" s="17">
        <v>42057.903277777776</v>
      </c>
      <c r="B223" s="13" t="s">
        <v>2557</v>
      </c>
      <c r="C223" s="13" t="s">
        <v>2558</v>
      </c>
      <c r="D223" s="13" t="s">
        <v>2559</v>
      </c>
      <c r="E223" s="13" t="s">
        <v>2560</v>
      </c>
      <c r="F223" s="13" t="s">
        <v>2561</v>
      </c>
      <c r="G223" s="13" t="s">
        <v>28</v>
      </c>
      <c r="H223" s="13" t="s">
        <v>2562</v>
      </c>
      <c r="I223" s="13" t="s">
        <v>60</v>
      </c>
      <c r="J223" s="13" t="s">
        <v>2563</v>
      </c>
      <c r="K223" s="13">
        <v>1.0</v>
      </c>
      <c r="L223" s="13">
        <v>0.0</v>
      </c>
      <c r="M223" s="13">
        <v>0.5</v>
      </c>
      <c r="N223" s="13" t="s">
        <v>2564</v>
      </c>
      <c r="O223" s="13" t="s">
        <v>2565</v>
      </c>
      <c r="P223" s="13" t="s">
        <v>2566</v>
      </c>
      <c r="Q223" s="18" t="s">
        <v>2567</v>
      </c>
      <c r="R223" s="19" t="str">
        <f>HYPERLINK("https://docs.google.com/open?id=0B5-iztf28QNJWFdwWnA0NG9iVkk","Advanced Scenarios and Control (ASC) - Schuster - Model-based Optimal Feedforward Current Profile Control")</f>
        <v>Advanced Scenarios and Control (ASC) - Schuster - Model-based Optimal Feedforward Current Profile Control</v>
      </c>
      <c r="S223" s="20" t="s">
        <v>2568</v>
      </c>
      <c r="T223" s="13" t="s">
        <v>2569</v>
      </c>
      <c r="U223" s="18" t="s">
        <v>2570</v>
      </c>
      <c r="V223" s="19" t="str">
        <f>HYPERLINK("https://docs.google.com/open?id=0B5-iztf28QNJZ1IwbmdPQl9FZmM","Advanced Scenarios and Control (ASC) - Schuster - Model-based Optimal Feedforward Current Profile Control")</f>
        <v>Advanced Scenarios and Control (ASC) - Schuster - Model-based Optimal Feedforward Current Profile Control</v>
      </c>
      <c r="W223" s="20" t="s">
        <v>2571</v>
      </c>
    </row>
    <row r="224">
      <c r="A224" s="17">
        <v>42057.91603143519</v>
      </c>
      <c r="B224" s="13" t="s">
        <v>2572</v>
      </c>
      <c r="C224" s="13" t="s">
        <v>1786</v>
      </c>
      <c r="D224" s="13" t="s">
        <v>1787</v>
      </c>
      <c r="E224" s="13" t="s">
        <v>1788</v>
      </c>
      <c r="F224" s="13" t="s">
        <v>2573</v>
      </c>
      <c r="G224" s="13" t="s">
        <v>28</v>
      </c>
      <c r="H224" s="13" t="s">
        <v>29</v>
      </c>
      <c r="I224" s="13" t="s">
        <v>955</v>
      </c>
      <c r="J224" s="13" t="s">
        <v>1790</v>
      </c>
      <c r="K224" s="13">
        <v>0.5</v>
      </c>
      <c r="L224" s="13">
        <v>0.0</v>
      </c>
      <c r="M224" s="13">
        <v>0.0</v>
      </c>
      <c r="N224" s="13" t="s">
        <v>2574</v>
      </c>
      <c r="O224" s="13" t="s">
        <v>2575</v>
      </c>
      <c r="P224" s="13" t="s">
        <v>2576</v>
      </c>
      <c r="Q224" s="18" t="s">
        <v>2577</v>
      </c>
      <c r="R224" s="19" t="str">
        <f>HYPERLINK("https://docs.google.com/open?id=0B5-iztf28QNJVFk4TFhDYlhDeTA","Materials and PFCs (MP) - Nichols - ELM effects on mixed material migration")</f>
        <v>Materials and PFCs (MP) - Nichols - ELM effects on mixed material migration</v>
      </c>
      <c r="S224" s="20" t="s">
        <v>2578</v>
      </c>
      <c r="T224" s="13" t="s">
        <v>2579</v>
      </c>
      <c r="U224" s="18" t="s">
        <v>2580</v>
      </c>
      <c r="V224" s="19" t="str">
        <f>HYPERLINK("https://docs.google.com/open?id=0B5-iztf28QNJdHRxSHZldWRBS2s","Materials and PFCs (MP) - Nichols - ELM effects on mixed material migration")</f>
        <v>Materials and PFCs (MP) - Nichols - ELM effects on mixed material migration</v>
      </c>
      <c r="W224" s="20" t="s">
        <v>2581</v>
      </c>
    </row>
    <row r="225">
      <c r="A225" s="17">
        <v>42057.92682440972</v>
      </c>
      <c r="B225" s="13" t="s">
        <v>1299</v>
      </c>
      <c r="C225" s="13" t="s">
        <v>1300</v>
      </c>
      <c r="D225" s="13" t="s">
        <v>1301</v>
      </c>
      <c r="E225" s="13" t="s">
        <v>1302</v>
      </c>
      <c r="F225" s="13" t="s">
        <v>1303</v>
      </c>
      <c r="G225" s="13" t="s">
        <v>270</v>
      </c>
      <c r="H225" s="13" t="s">
        <v>29</v>
      </c>
      <c r="I225" s="13" t="s">
        <v>169</v>
      </c>
      <c r="J225" s="13" t="s">
        <v>1304</v>
      </c>
      <c r="K225" s="13">
        <v>1.0</v>
      </c>
      <c r="L225" s="13">
        <v>0.0</v>
      </c>
      <c r="M225" s="13">
        <v>0.5</v>
      </c>
      <c r="N225" s="13" t="s">
        <v>1305</v>
      </c>
      <c r="O225" s="13" t="s">
        <v>1306</v>
      </c>
      <c r="P225" s="13" t="s">
        <v>2582</v>
      </c>
      <c r="Q225" s="18" t="s">
        <v>2583</v>
      </c>
      <c r="R225" s="19" t="str">
        <f>HYPERLINK("https://docs.google.com/open?id=0B5-iztf28QNJZnF5ZFZCbzlobXM","Macroscopic Stability (MS) - Wang - Study of tearing mode stability in the presence of external perturbed fields")</f>
        <v>Macroscopic Stability (MS) - Wang - Study of tearing mode stability in the presence of external perturbed fields</v>
      </c>
      <c r="S225" s="20" t="s">
        <v>2584</v>
      </c>
      <c r="T225" s="13" t="s">
        <v>2585</v>
      </c>
      <c r="U225" s="18" t="s">
        <v>2586</v>
      </c>
      <c r="V225" s="19" t="str">
        <f>HYPERLINK("https://docs.google.com/open?id=0B5-iztf28QNJM3JlRzBUMnBRMTg","Macroscopic Stability (MS) - Wang - Study of tearing mode stability in the presence of external perturbed fields")</f>
        <v>Macroscopic Stability (MS) - Wang - Study of tearing mode stability in the presence of external perturbed fields</v>
      </c>
      <c r="W225" s="20" t="s">
        <v>2587</v>
      </c>
    </row>
    <row r="226">
      <c r="A226" s="17">
        <v>42058.400086724534</v>
      </c>
      <c r="B226" s="13" t="s">
        <v>2588</v>
      </c>
      <c r="C226" s="13" t="s">
        <v>2589</v>
      </c>
      <c r="D226" s="13" t="s">
        <v>2590</v>
      </c>
      <c r="E226" s="13" t="s">
        <v>2591</v>
      </c>
      <c r="F226" s="13" t="s">
        <v>2592</v>
      </c>
      <c r="G226" s="13" t="s">
        <v>1540</v>
      </c>
      <c r="H226" s="13" t="s">
        <v>1541</v>
      </c>
      <c r="I226" s="13" t="s">
        <v>235</v>
      </c>
      <c r="J226" s="13" t="s">
        <v>2593</v>
      </c>
      <c r="K226" s="13">
        <v>2.0</v>
      </c>
      <c r="L226" s="13">
        <v>0.0</v>
      </c>
      <c r="M226" s="13">
        <v>1.0</v>
      </c>
      <c r="N226" s="13" t="s">
        <v>2594</v>
      </c>
      <c r="O226" s="13" t="s">
        <v>2595</v>
      </c>
      <c r="P226" s="13" t="s">
        <v>2596</v>
      </c>
      <c r="Q226" s="18" t="s">
        <v>2597</v>
      </c>
      <c r="R226" s="19" t="str">
        <f>HYPERLINK("https://docs.google.com/open?id=0B5-iztf28QNJVkZtLWtpQnFVSXc","Pedestal Structure and Control (PS) - Loarte - Understanding impurity transport mechanisms in the plasma pedestal")</f>
        <v>Pedestal Structure and Control (PS) - Loarte - Understanding impurity transport mechanisms in the plasma pedestal</v>
      </c>
      <c r="S226" s="20" t="s">
        <v>2598</v>
      </c>
      <c r="T226" s="13" t="s">
        <v>2599</v>
      </c>
      <c r="U226" s="18" t="s">
        <v>2600</v>
      </c>
      <c r="V226" s="19" t="str">
        <f>HYPERLINK("https://docs.google.com/open?id=0B5-iztf28QNJa3ktSGxud1N4N0E","Pedestal Structure and Control (PS) - Loarte - Understanding impurity transport mechanisms in the plasma pedestal")</f>
        <v>Pedestal Structure and Control (PS) - Loarte - Understanding impurity transport mechanisms in the plasma pedestal</v>
      </c>
      <c r="W226" s="20" t="s">
        <v>2601</v>
      </c>
    </row>
    <row r="227">
      <c r="A227" s="17">
        <v>42058.42014083333</v>
      </c>
      <c r="B227" s="13" t="s">
        <v>2602</v>
      </c>
      <c r="C227" s="13" t="s">
        <v>2603</v>
      </c>
      <c r="D227" s="13" t="s">
        <v>2604</v>
      </c>
      <c r="E227" s="13" t="s">
        <v>2605</v>
      </c>
      <c r="F227" s="13" t="s">
        <v>2606</v>
      </c>
      <c r="G227" s="13" t="s">
        <v>28</v>
      </c>
      <c r="H227" s="13" t="s">
        <v>168</v>
      </c>
      <c r="I227" s="13" t="s">
        <v>169</v>
      </c>
      <c r="J227" s="13" t="s">
        <v>31</v>
      </c>
      <c r="K227" s="13">
        <v>1.0</v>
      </c>
      <c r="L227" s="13">
        <v>0.0</v>
      </c>
      <c r="M227" s="13">
        <v>0.5</v>
      </c>
      <c r="N227" s="13" t="s">
        <v>2607</v>
      </c>
      <c r="O227" s="13" t="s">
        <v>2608</v>
      </c>
      <c r="P227" s="13" t="s">
        <v>2609</v>
      </c>
      <c r="Q227" s="18" t="s">
        <v>2610</v>
      </c>
      <c r="R227" s="19" t="str">
        <f>HYPERLINK("https://docs.google.com/open?id=0B5-iztf28QNJd1J2bVNONzNiMnc","Macroscopic Stability (MS) - Paz-Soldan - Tearing onset through driven reconnection across rational surfaces")</f>
        <v>Macroscopic Stability (MS) - Paz-Soldan - Tearing onset through driven reconnection across rational surfaces</v>
      </c>
      <c r="S227" s="20" t="s">
        <v>2611</v>
      </c>
      <c r="T227" s="13" t="s">
        <v>2612</v>
      </c>
      <c r="U227" s="18" t="s">
        <v>2613</v>
      </c>
      <c r="V227" s="19" t="str">
        <f>HYPERLINK("https://docs.google.com/open?id=0B5-iztf28QNJajRJRXpnNE0yWDA","Macroscopic Stability (MS) - Paz-Soldan - Tearing onset through driven reconnection across rational surfaces")</f>
        <v>Macroscopic Stability (MS) - Paz-Soldan - Tearing onset through driven reconnection across rational surfaces</v>
      </c>
      <c r="W227" s="20" t="s">
        <v>2614</v>
      </c>
    </row>
    <row r="228">
      <c r="A228" s="17">
        <v>42058.42215815972</v>
      </c>
      <c r="B228" s="13" t="s">
        <v>2615</v>
      </c>
      <c r="C228" s="13" t="s">
        <v>2589</v>
      </c>
      <c r="D228" s="13" t="s">
        <v>2590</v>
      </c>
      <c r="E228" s="13" t="s">
        <v>2591</v>
      </c>
      <c r="F228" s="13" t="s">
        <v>2616</v>
      </c>
      <c r="G228" s="13" t="s">
        <v>1540</v>
      </c>
      <c r="H228" s="13" t="s">
        <v>1541</v>
      </c>
      <c r="I228" s="13" t="s">
        <v>235</v>
      </c>
      <c r="J228" s="13" t="s">
        <v>2617</v>
      </c>
      <c r="K228" s="13">
        <v>2.0</v>
      </c>
      <c r="L228" s="13">
        <v>0.0</v>
      </c>
      <c r="M228" s="13">
        <v>1.0</v>
      </c>
      <c r="N228" s="13" t="s">
        <v>2618</v>
      </c>
      <c r="O228" s="13" t="s">
        <v>2619</v>
      </c>
      <c r="P228" s="13" t="s">
        <v>2620</v>
      </c>
      <c r="Q228" s="18" t="s">
        <v>2621</v>
      </c>
      <c r="R228" s="19" t="str">
        <f>HYPERLINK("https://docs.google.com/open?id=0B5-iztf28QNJbThkMml0eXpYb3M","Pedestal Structure and Control (PS) - Loarte - Understanding of pedestal anomalous transport reduction/increase from L-mode to Type I ELMy H-mode and back")</f>
        <v>Pedestal Structure and Control (PS) - Loarte - Understanding of pedestal anomalous transport reduction/increase from L-mode to Type I ELMy H-mode and back</v>
      </c>
      <c r="S228" s="20" t="s">
        <v>2622</v>
      </c>
      <c r="T228" s="13" t="s">
        <v>2623</v>
      </c>
      <c r="U228" s="18" t="s">
        <v>2624</v>
      </c>
      <c r="V228" s="19" t="str">
        <f>HYPERLINK("https://docs.google.com/open?id=0B5-iztf28QNJVUhuZVNxS2lZX1U","Pedestal Structure and Control (PS) - Loarte - Understanding of pedestal anomalous transport reduction/increase from L-mode to Type I ELMy H-mode and back")</f>
        <v>Pedestal Structure and Control (PS) - Loarte - Understanding of pedestal anomalous transport reduction/increase from L-mode to Type I ELMy H-mode and back</v>
      </c>
      <c r="W228" s="20" t="s">
        <v>2625</v>
      </c>
    </row>
    <row r="229">
      <c r="A229" s="17">
        <v>42059.14000167824</v>
      </c>
      <c r="B229" s="13" t="s">
        <v>2626</v>
      </c>
      <c r="C229" s="13" t="s">
        <v>2589</v>
      </c>
      <c r="D229" s="13" t="s">
        <v>2590</v>
      </c>
      <c r="E229" s="13" t="s">
        <v>2591</v>
      </c>
      <c r="F229" s="13" t="s">
        <v>2627</v>
      </c>
      <c r="G229" s="13" t="s">
        <v>1540</v>
      </c>
      <c r="H229" s="13" t="s">
        <v>1541</v>
      </c>
      <c r="I229" s="13" t="s">
        <v>580</v>
      </c>
      <c r="J229" s="13" t="s">
        <v>47</v>
      </c>
      <c r="K229" s="13">
        <v>2.0</v>
      </c>
      <c r="L229" s="13">
        <v>2.0</v>
      </c>
      <c r="M229" s="13">
        <v>1.0</v>
      </c>
      <c r="N229" s="13" t="s">
        <v>2628</v>
      </c>
      <c r="O229" s="13" t="s">
        <v>2629</v>
      </c>
      <c r="P229" s="13" t="s">
        <v>2630</v>
      </c>
      <c r="Q229" s="18" t="s">
        <v>2631</v>
      </c>
      <c r="R229" s="19" t="str">
        <f>HYPERLINK("https://docs.google.com/open?id=0B5-iztf28QNJRU4yOVJ2UkFEbXc","Divertor and Scrape-off-layer (DS) - Loarte - Divertor conditions and detachment characteristics in plasmas with 3-D fields")</f>
        <v>Divertor and Scrape-off-layer (DS) - Loarte - Divertor conditions and detachment characteristics in plasmas with 3-D fields</v>
      </c>
      <c r="S229" s="20" t="s">
        <v>2632</v>
      </c>
      <c r="T229" s="13" t="s">
        <v>2633</v>
      </c>
      <c r="U229" s="18" t="s">
        <v>2634</v>
      </c>
      <c r="V229" s="19" t="str">
        <f>HYPERLINK("https://docs.google.com/open?id=0B5-iztf28QNJSmJSaFNqRW96M2M","Divertor and Scrape-off-layer (DS) - Loarte - Divertor conditions and detachment characteristics in plasmas with 3-D fields")</f>
        <v>Divertor and Scrape-off-layer (DS) - Loarte - Divertor conditions and detachment characteristics in plasmas with 3-D fields</v>
      </c>
      <c r="W229" s="20" t="s">
        <v>2635</v>
      </c>
    </row>
    <row r="230">
      <c r="A230" s="17">
        <v>42058.42567186343</v>
      </c>
      <c r="B230" s="13" t="s">
        <v>2636</v>
      </c>
      <c r="C230" s="13" t="s">
        <v>2637</v>
      </c>
      <c r="D230" s="13" t="s">
        <v>2638</v>
      </c>
      <c r="E230" s="13" t="s">
        <v>2639</v>
      </c>
      <c r="F230" s="13" t="s">
        <v>1040</v>
      </c>
      <c r="G230" s="13" t="s">
        <v>28</v>
      </c>
      <c r="H230" s="13" t="s">
        <v>29</v>
      </c>
      <c r="I230" s="13" t="s">
        <v>169</v>
      </c>
      <c r="J230" s="13" t="s">
        <v>2640</v>
      </c>
      <c r="K230" s="13">
        <v>1.0</v>
      </c>
      <c r="L230" s="13">
        <v>0.0</v>
      </c>
      <c r="M230" s="13">
        <v>0.5</v>
      </c>
      <c r="N230" s="13" t="s">
        <v>2641</v>
      </c>
      <c r="O230" s="13" t="s">
        <v>2642</v>
      </c>
      <c r="P230" s="13" t="s">
        <v>2643</v>
      </c>
      <c r="Q230" s="18" t="s">
        <v>2644</v>
      </c>
      <c r="R230" s="19" t="str">
        <f>HYPERLINK("https://docs.google.com/open?id=0B5-iztf28QNJUEhIV25fbzFxM1U","Macroscopic Stability (MS) - Jardin - Investigation of Plasma Disruptions during Current Rampdown")</f>
        <v>Macroscopic Stability (MS) - Jardin - Investigation of Plasma Disruptions during Current Rampdown</v>
      </c>
      <c r="S230" s="20" t="s">
        <v>2645</v>
      </c>
      <c r="T230" s="13" t="s">
        <v>2646</v>
      </c>
      <c r="U230" s="18" t="s">
        <v>2647</v>
      </c>
      <c r="V230" s="19" t="str">
        <f>HYPERLINK("https://docs.google.com/open?id=0B5-iztf28QNJcG9wVjFYUTdWd2c","Macroscopic Stability (MS) - Jardin - Investigation of Plasma Disruptions during Current Rampdown")</f>
        <v>Macroscopic Stability (MS) - Jardin - Investigation of Plasma Disruptions during Current Rampdown</v>
      </c>
      <c r="W230" s="20" t="s">
        <v>2648</v>
      </c>
    </row>
    <row r="231">
      <c r="A231" s="17">
        <v>42058.45075631944</v>
      </c>
      <c r="B231" s="13" t="s">
        <v>2649</v>
      </c>
      <c r="C231" s="13" t="s">
        <v>205</v>
      </c>
      <c r="D231" s="13" t="s">
        <v>206</v>
      </c>
      <c r="E231" s="13" t="s">
        <v>207</v>
      </c>
      <c r="F231" s="13" t="s">
        <v>2487</v>
      </c>
      <c r="G231" s="13" t="s">
        <v>28</v>
      </c>
      <c r="H231" s="13" t="s">
        <v>29</v>
      </c>
      <c r="I231" s="13" t="s">
        <v>819</v>
      </c>
      <c r="J231" s="13" t="s">
        <v>47</v>
      </c>
      <c r="K231" s="13">
        <v>1.0</v>
      </c>
      <c r="L231" s="13">
        <v>0.0</v>
      </c>
      <c r="M231" s="13">
        <v>0.5</v>
      </c>
      <c r="N231" s="13" t="s">
        <v>2650</v>
      </c>
      <c r="O231" s="13" t="s">
        <v>2651</v>
      </c>
      <c r="P231" s="13" t="s">
        <v>2652</v>
      </c>
      <c r="Q231" s="18" t="s">
        <v>2653</v>
      </c>
      <c r="R231" s="19" t="str">
        <f>HYPERLINK("https://docs.google.com/open?id=0B5-iztf28QNJaXpKS294RVJ2WkE","Wave Heating and Current Drive (RF) - Perkins - Antenna-Plasma Interactions and HHFW Power Losses on the Antenna Structure")</f>
        <v>Wave Heating and Current Drive (RF) - Perkins - Antenna-Plasma Interactions and HHFW Power Losses on the Antenna Structure</v>
      </c>
      <c r="S231" s="20" t="s">
        <v>2654</v>
      </c>
      <c r="T231" s="13" t="s">
        <v>2655</v>
      </c>
      <c r="U231" s="18" t="s">
        <v>2656</v>
      </c>
      <c r="V231" s="19" t="str">
        <f>HYPERLINK("https://docs.google.com/open?id=0B5-iztf28QNJekx3VFVLR0dyVW8","Wave Heating and Current Drive (RF) - Perkins - Antenna-Plasma Interactions and HHFW Power Losses on the Antenna Structure")</f>
        <v>Wave Heating and Current Drive (RF) - Perkins - Antenna-Plasma Interactions and HHFW Power Losses on the Antenna Structure</v>
      </c>
      <c r="W231" s="20" t="s">
        <v>2657</v>
      </c>
    </row>
    <row r="232">
      <c r="A232" s="17">
        <v>42058.455132847215</v>
      </c>
      <c r="B232" s="13" t="s">
        <v>2658</v>
      </c>
      <c r="C232" s="13" t="s">
        <v>1973</v>
      </c>
      <c r="D232" s="13" t="s">
        <v>1089</v>
      </c>
      <c r="E232" s="13" t="s">
        <v>1090</v>
      </c>
      <c r="F232" s="13" t="s">
        <v>2659</v>
      </c>
      <c r="G232" s="13" t="s">
        <v>28</v>
      </c>
      <c r="H232" s="13" t="s">
        <v>430</v>
      </c>
      <c r="I232" s="13" t="s">
        <v>955</v>
      </c>
      <c r="J232" s="13" t="s">
        <v>2660</v>
      </c>
      <c r="K232" s="13">
        <v>1.0</v>
      </c>
      <c r="L232" s="13">
        <v>1.0</v>
      </c>
      <c r="M232" s="13">
        <v>0.5</v>
      </c>
      <c r="N232" s="13" t="s">
        <v>2661</v>
      </c>
      <c r="O232" s="13" t="s">
        <v>2662</v>
      </c>
      <c r="P232" s="13" t="s">
        <v>2663</v>
      </c>
      <c r="Q232" s="18" t="s">
        <v>2664</v>
      </c>
      <c r="R232" s="19" t="str">
        <f>HYPERLINK("https://docs.google.com/open?id=0B5-iztf28QNJeUYzVFVldHZ0UWs","Materials and PFCs (MP) - Gray - Leading edge power loading of PFCs")</f>
        <v>Materials and PFCs (MP) - Gray - Leading edge power loading of PFCs</v>
      </c>
      <c r="S232" s="20" t="s">
        <v>2665</v>
      </c>
      <c r="T232" s="13" t="s">
        <v>2666</v>
      </c>
      <c r="U232" s="18" t="s">
        <v>2667</v>
      </c>
      <c r="V232" s="19" t="str">
        <f>HYPERLINK("https://docs.google.com/open?id=0B5-iztf28QNJV25PQjVBTW5pLUE","Materials and PFCs (MP) - Gray - Leading edge power loading of PFCs")</f>
        <v>Materials and PFCs (MP) - Gray - Leading edge power loading of PFCs</v>
      </c>
      <c r="W232" s="20" t="s">
        <v>2668</v>
      </c>
    </row>
    <row r="233">
      <c r="A233" s="17">
        <v>42058.48213024306</v>
      </c>
      <c r="B233" s="13" t="s">
        <v>2669</v>
      </c>
      <c r="C233" s="13" t="s">
        <v>1536</v>
      </c>
      <c r="D233" s="13" t="s">
        <v>1537</v>
      </c>
      <c r="E233" s="13" t="s">
        <v>1538</v>
      </c>
      <c r="F233" s="13" t="s">
        <v>2670</v>
      </c>
      <c r="G233" s="13" t="s">
        <v>1540</v>
      </c>
      <c r="H233" s="13" t="s">
        <v>1541</v>
      </c>
      <c r="I233" s="13" t="s">
        <v>60</v>
      </c>
      <c r="J233" s="13" t="s">
        <v>2671</v>
      </c>
      <c r="K233" s="13">
        <v>2.0</v>
      </c>
      <c r="L233" s="13">
        <v>0.0</v>
      </c>
      <c r="M233" s="13">
        <v>1.0</v>
      </c>
      <c r="N233" s="13" t="s">
        <v>2672</v>
      </c>
      <c r="O233" s="13" t="s">
        <v>2673</v>
      </c>
      <c r="P233" s="13" t="s">
        <v>2674</v>
      </c>
      <c r="Q233" s="18" t="s">
        <v>2675</v>
      </c>
      <c r="R233" s="19" t="str">
        <f>HYPERLINK("https://docs.google.com/open?id=0B5-iztf28QNJeG1qRWZTcHZPMXM","Advanced Scenarios and Control (ASC) - Snipes - Characterizing Type I ELMy H-modes in He plasmas and demonstration of ELM Control")</f>
        <v>Advanced Scenarios and Control (ASC) - Snipes - Characterizing Type I ELMy H-modes in He plasmas and demonstration of ELM Control</v>
      </c>
      <c r="S233" s="20" t="s">
        <v>2676</v>
      </c>
      <c r="T233" s="13" t="s">
        <v>2677</v>
      </c>
      <c r="U233" s="18" t="s">
        <v>2678</v>
      </c>
      <c r="V233" s="19" t="str">
        <f>HYPERLINK("https://docs.google.com/open?id=0B5-iztf28QNJelJqNWl0YnBoOUk","Advanced Scenarios and Control (ASC) - Snipes - Characterizing Type I ELMy H-modes in He plasmas and demonstration of ELM Control")</f>
        <v>Advanced Scenarios and Control (ASC) - Snipes - Characterizing Type I ELMy H-modes in He plasmas and demonstration of ELM Control</v>
      </c>
      <c r="W233" s="20" t="s">
        <v>2679</v>
      </c>
    </row>
    <row r="234">
      <c r="A234" s="17">
        <v>42058.509811979166</v>
      </c>
      <c r="B234" s="13" t="s">
        <v>2680</v>
      </c>
      <c r="C234" s="13" t="s">
        <v>426</v>
      </c>
      <c r="D234" s="13" t="s">
        <v>427</v>
      </c>
      <c r="E234" s="13" t="s">
        <v>428</v>
      </c>
      <c r="F234" s="13" t="s">
        <v>2681</v>
      </c>
      <c r="G234" s="13" t="s">
        <v>28</v>
      </c>
      <c r="H234" s="13" t="s">
        <v>430</v>
      </c>
      <c r="I234" s="13" t="s">
        <v>580</v>
      </c>
      <c r="J234" s="13" t="s">
        <v>47</v>
      </c>
      <c r="K234" s="13">
        <v>1.5</v>
      </c>
      <c r="L234" s="13">
        <v>0.0</v>
      </c>
      <c r="M234" s="13">
        <v>1.0</v>
      </c>
      <c r="N234" s="13" t="s">
        <v>2682</v>
      </c>
      <c r="O234" s="13" t="s">
        <v>2683</v>
      </c>
      <c r="P234" s="13" t="s">
        <v>2684</v>
      </c>
      <c r="Q234" s="18" t="s">
        <v>2685</v>
      </c>
      <c r="R234" s="19" t="str">
        <f>HYPERLINK("https://docs.google.com/open?id=0B5-iztf28QNJRGxfWGphZVFhUnc","Divertor and Scrape-off-layer (DS) - Ahn - Performance optimization of divertor detachment ")</f>
        <v>Divertor and Scrape-off-layer (DS) - Ahn - Performance optimization of divertor detachment </v>
      </c>
      <c r="S234" s="20" t="s">
        <v>2686</v>
      </c>
      <c r="T234" s="13" t="s">
        <v>2687</v>
      </c>
      <c r="U234" s="18" t="s">
        <v>2688</v>
      </c>
      <c r="V234" s="19" t="str">
        <f>HYPERLINK("https://docs.google.com/open?id=0B5-iztf28QNJR1JTOHJVMEQyaTQ","Divertor and Scrape-off-layer (DS) - Ahn - Performance optimization of divertor detachment ")</f>
        <v>Divertor and Scrape-off-layer (DS) - Ahn - Performance optimization of divertor detachment </v>
      </c>
      <c r="W234" s="20" t="s">
        <v>2689</v>
      </c>
    </row>
    <row r="235">
      <c r="A235" s="17">
        <v>42058.51197013889</v>
      </c>
      <c r="B235" s="13" t="s">
        <v>2690</v>
      </c>
      <c r="C235" s="13" t="s">
        <v>426</v>
      </c>
      <c r="D235" s="13" t="s">
        <v>427</v>
      </c>
      <c r="E235" s="13" t="s">
        <v>428</v>
      </c>
      <c r="F235" s="13" t="s">
        <v>2691</v>
      </c>
      <c r="G235" s="13" t="s">
        <v>28</v>
      </c>
      <c r="H235" s="13" t="s">
        <v>430</v>
      </c>
      <c r="I235" s="13" t="s">
        <v>592</v>
      </c>
      <c r="J235" s="13" t="s">
        <v>47</v>
      </c>
      <c r="K235" s="13">
        <v>1.0</v>
      </c>
      <c r="L235" s="13">
        <v>0.0</v>
      </c>
      <c r="M235" s="13">
        <v>0.5</v>
      </c>
      <c r="N235" s="13" t="s">
        <v>2692</v>
      </c>
      <c r="O235" s="13" t="s">
        <v>2693</v>
      </c>
      <c r="P235" s="13" t="s">
        <v>2694</v>
      </c>
      <c r="Q235" s="18" t="s">
        <v>2695</v>
      </c>
      <c r="R235" s="19" t="str">
        <f>HYPERLINK("https://docs.google.com/open?id=0B5-iztf28QNJc1BrQzZ1VTlqdk0","Particle Control Task Force (PC) - Ahn - Combination of 3D fields with snowflake for impurity control")</f>
        <v>Particle Control Task Force (PC) - Ahn - Combination of 3D fields with snowflake for impurity control</v>
      </c>
      <c r="S235" s="20" t="s">
        <v>2696</v>
      </c>
      <c r="T235" s="13" t="s">
        <v>2697</v>
      </c>
      <c r="U235" s="18" t="s">
        <v>2698</v>
      </c>
      <c r="V235" s="19" t="str">
        <f>HYPERLINK("https://docs.google.com/open?id=0B5-iztf28QNJLUxobkVVYTBJRlk","Particle Control Task Force (PC) - Ahn - Combination of 3D fields with snowflake for impurity control")</f>
        <v>Particle Control Task Force (PC) - Ahn - Combination of 3D fields with snowflake for impurity control</v>
      </c>
      <c r="W235" s="20" t="s">
        <v>2699</v>
      </c>
    </row>
    <row r="236">
      <c r="A236" s="17">
        <v>42058.554165138885</v>
      </c>
      <c r="B236" s="13" t="s">
        <v>2700</v>
      </c>
      <c r="C236" s="13" t="s">
        <v>602</v>
      </c>
      <c r="D236" s="13" t="s">
        <v>603</v>
      </c>
      <c r="E236" s="13" t="s">
        <v>604</v>
      </c>
      <c r="F236" s="13" t="s">
        <v>794</v>
      </c>
      <c r="G236" s="13" t="s">
        <v>28</v>
      </c>
      <c r="H236" s="13" t="s">
        <v>29</v>
      </c>
      <c r="I236" s="13" t="s">
        <v>235</v>
      </c>
      <c r="J236" s="13" t="s">
        <v>31</v>
      </c>
      <c r="K236" s="13">
        <v>0.5</v>
      </c>
      <c r="L236" s="13">
        <v>0.0</v>
      </c>
      <c r="M236" s="13">
        <v>0.5</v>
      </c>
      <c r="N236" s="13" t="s">
        <v>2701</v>
      </c>
      <c r="O236" s="13" t="s">
        <v>2702</v>
      </c>
      <c r="P236" s="13" t="s">
        <v>2703</v>
      </c>
      <c r="Q236" s="18" t="s">
        <v>2704</v>
      </c>
      <c r="R236" s="19" t="str">
        <f>HYPERLINK("https://docs.google.com/open?id=0B5-iztf28QNJMnJrN0tTNEpqdE0","Pedestal Structure and Control (PS) - Maingi - Effects of B-&gt; Li transition on the pedestal structure")</f>
        <v>Pedestal Structure and Control (PS) - Maingi - Effects of B-&gt; Li transition on the pedestal structure</v>
      </c>
      <c r="S236" s="20" t="s">
        <v>2705</v>
      </c>
      <c r="T236" s="13" t="s">
        <v>2706</v>
      </c>
      <c r="U236" s="18" t="s">
        <v>2707</v>
      </c>
      <c r="V236" s="19" t="str">
        <f>HYPERLINK("https://docs.google.com/open?id=0B5-iztf28QNJZ1l2djUzZDVuNDA","Pedestal Structure and Control (PS) - Maingi - Effects of B-&gt; Li transition on the pedestal structure")</f>
        <v>Pedestal Structure and Control (PS) - Maingi - Effects of B-&gt; Li transition on the pedestal structure</v>
      </c>
      <c r="W236" s="20" t="s">
        <v>2708</v>
      </c>
    </row>
    <row r="237">
      <c r="A237" s="17">
        <v>42058.803921087965</v>
      </c>
      <c r="B237" s="13" t="s">
        <v>2709</v>
      </c>
      <c r="C237" s="13" t="s">
        <v>737</v>
      </c>
      <c r="D237" s="13" t="s">
        <v>738</v>
      </c>
      <c r="E237" s="13" t="s">
        <v>739</v>
      </c>
      <c r="F237" s="13" t="s">
        <v>2710</v>
      </c>
      <c r="G237" s="13" t="s">
        <v>1191</v>
      </c>
      <c r="H237" s="13" t="s">
        <v>337</v>
      </c>
      <c r="I237" s="13" t="s">
        <v>169</v>
      </c>
      <c r="J237" s="13" t="s">
        <v>2711</v>
      </c>
      <c r="K237" s="13">
        <v>1.0</v>
      </c>
      <c r="L237" s="13">
        <v>0.0</v>
      </c>
      <c r="M237" s="13">
        <v>0.5</v>
      </c>
      <c r="N237" s="13" t="s">
        <v>2712</v>
      </c>
      <c r="O237" s="13" t="s">
        <v>2713</v>
      </c>
      <c r="P237" s="13" t="s">
        <v>2714</v>
      </c>
      <c r="Q237" s="18" t="s">
        <v>2715</v>
      </c>
      <c r="R237" s="19" t="str">
        <f>HYPERLINK("https://docs.google.com/open?id=0B5-iztf28QNJVmdpRHl0LWNmWDA","Macroscopic Stability (MS) - Park - NTM Entrainment in NSTX-U")</f>
        <v>Macroscopic Stability (MS) - Park - NTM Entrainment in NSTX-U</v>
      </c>
      <c r="S237" s="20" t="s">
        <v>2716</v>
      </c>
      <c r="T237" s="13" t="s">
        <v>2717</v>
      </c>
      <c r="U237" s="18" t="s">
        <v>2718</v>
      </c>
      <c r="V237" s="19" t="str">
        <f>HYPERLINK("https://docs.google.com/open?id=0B5-iztf28QNJblhXZFZPSDRpd1k","Macroscopic Stability (MS) - Park - NTM Entrainment in NSTX-U")</f>
        <v>Macroscopic Stability (MS) - Park - NTM Entrainment in NSTX-U</v>
      </c>
      <c r="W237" s="20" t="s">
        <v>2719</v>
      </c>
    </row>
    <row r="238">
      <c r="A238" s="17">
        <v>42059.542659768515</v>
      </c>
      <c r="B238" s="13" t="s">
        <v>2720</v>
      </c>
      <c r="C238" s="13" t="s">
        <v>2721</v>
      </c>
      <c r="D238" s="13" t="s">
        <v>2722</v>
      </c>
      <c r="E238" s="13" t="s">
        <v>2723</v>
      </c>
      <c r="F238" s="13" t="s">
        <v>2724</v>
      </c>
      <c r="G238" s="13" t="s">
        <v>28</v>
      </c>
      <c r="H238" s="13" t="s">
        <v>2725</v>
      </c>
      <c r="I238" s="13" t="s">
        <v>580</v>
      </c>
      <c r="J238" s="13" t="s">
        <v>1605</v>
      </c>
      <c r="K238" s="13">
        <v>1.5</v>
      </c>
      <c r="L238" s="13">
        <v>0.0</v>
      </c>
      <c r="M238" s="13">
        <v>1.0</v>
      </c>
      <c r="N238" s="13" t="s">
        <v>2726</v>
      </c>
      <c r="O238" s="13" t="s">
        <v>2727</v>
      </c>
      <c r="P238" s="13" t="s">
        <v>2728</v>
      </c>
      <c r="Q238" s="18" t="s">
        <v>2729</v>
      </c>
      <c r="R238" s="19" t="str">
        <f>HYPERLINK("https://docs.google.com/open?id=0B5-iztf28QNJYzhjTkNRdjlEWG8","Divertor and Scrape-off-layer (DS) - Kotschenreuther - Testing divertor performance metrics for X-divertors on NSTX-U")</f>
        <v>Divertor and Scrape-off-layer (DS) - Kotschenreuther - Testing divertor performance metrics for X-divertors on NSTX-U</v>
      </c>
      <c r="S238" s="20" t="s">
        <v>2730</v>
      </c>
      <c r="T238" s="13" t="s">
        <v>2731</v>
      </c>
      <c r="U238" s="18" t="s">
        <v>2732</v>
      </c>
      <c r="V238" s="19" t="str">
        <f>HYPERLINK("https://docs.google.com/open?id=0B5-iztf28QNJcnlPeXF4ckgwSzg","Divertor and Scrape-off-layer (DS) - Kotschenreuther - Testing divertor performance metrics for X-divertors on NSTX-U")</f>
        <v>Divertor and Scrape-off-layer (DS) - Kotschenreuther - Testing divertor performance metrics for X-divertors on NSTX-U</v>
      </c>
      <c r="W238" s="20" t="s">
        <v>2733</v>
      </c>
    </row>
    <row r="239">
      <c r="A239" s="17">
        <v>42059.56050385417</v>
      </c>
      <c r="B239" s="13" t="s">
        <v>2734</v>
      </c>
      <c r="C239" s="13" t="s">
        <v>1800</v>
      </c>
      <c r="D239" s="13" t="s">
        <v>1801</v>
      </c>
      <c r="E239" s="13" t="s">
        <v>1802</v>
      </c>
      <c r="F239" s="13" t="s">
        <v>1803</v>
      </c>
      <c r="G239" s="13" t="s">
        <v>28</v>
      </c>
      <c r="H239" s="13" t="s">
        <v>1178</v>
      </c>
      <c r="I239" s="13" t="s">
        <v>955</v>
      </c>
      <c r="J239" s="13" t="s">
        <v>2735</v>
      </c>
      <c r="K239" s="13">
        <v>0.0</v>
      </c>
      <c r="L239" s="13">
        <v>0.0</v>
      </c>
      <c r="M239" s="13">
        <v>0.0</v>
      </c>
      <c r="N239" s="13" t="s">
        <v>2736</v>
      </c>
      <c r="O239" s="13" t="s">
        <v>2737</v>
      </c>
      <c r="P239" s="13" t="s">
        <v>2738</v>
      </c>
      <c r="Q239" s="18" t="s">
        <v>2739</v>
      </c>
      <c r="R239" s="19" t="str">
        <f>HYPERLINK("https://docs.google.com/open?id=0B5-iztf28QNJcjZvRkQ5WFV2TGc","Materials and PFCs (MP) - Koel - Surface Science for NSTX-U rev")</f>
        <v>Materials and PFCs (MP) - Koel - Surface Science for NSTX-U rev</v>
      </c>
      <c r="S239" s="20" t="s">
        <v>2740</v>
      </c>
      <c r="T239" s="13" t="s">
        <v>2741</v>
      </c>
      <c r="U239" s="18" t="s">
        <v>2742</v>
      </c>
      <c r="V239" s="19" t="str">
        <f>HYPERLINK("https://docs.google.com/open?id=0B5-iztf28QNJNm9HVWkxRUFHTmM","Materials and PFCs (MP) - Koel - Surface Science for NSTX-U rev")</f>
        <v>Materials and PFCs (MP) - Koel - Surface Science for NSTX-U rev</v>
      </c>
      <c r="W239" s="20" t="s">
        <v>2743</v>
      </c>
    </row>
    <row r="240">
      <c r="A240" s="17">
        <v>42059.77336814815</v>
      </c>
      <c r="B240" s="13" t="s">
        <v>2744</v>
      </c>
      <c r="C240" s="13" t="s">
        <v>231</v>
      </c>
      <c r="D240" s="13" t="s">
        <v>232</v>
      </c>
      <c r="E240" s="13" t="s">
        <v>233</v>
      </c>
      <c r="F240" s="13" t="s">
        <v>47</v>
      </c>
      <c r="G240" s="13" t="s">
        <v>28</v>
      </c>
      <c r="H240" s="13" t="s">
        <v>29</v>
      </c>
      <c r="I240" s="13" t="s">
        <v>545</v>
      </c>
      <c r="J240" s="13" t="s">
        <v>47</v>
      </c>
      <c r="K240" s="13">
        <v>0.0</v>
      </c>
      <c r="L240" s="13">
        <v>0.0</v>
      </c>
      <c r="M240" s="13">
        <v>0.0</v>
      </c>
      <c r="N240" s="13" t="s">
        <v>2745</v>
      </c>
      <c r="O240" s="13" t="s">
        <v>47</v>
      </c>
      <c r="P240" s="13" t="s">
        <v>2746</v>
      </c>
      <c r="Q240" s="18" t="s">
        <v>2747</v>
      </c>
      <c r="R240" s="19" t="str">
        <f>HYPERLINK("https://docs.google.com/open?id=0B5-iztf28QNJTzdrLWoybkFxUGM","Solenoid-free Start-up and Ramp-up (SR) - Diallo - Impact of the edge current produced by CHI on the pedestal stbility")</f>
        <v>Solenoid-free Start-up and Ramp-up (SR) - Diallo - Impact of the edge current produced by CHI on the pedestal stbility</v>
      </c>
      <c r="S240" s="20" t="s">
        <v>2748</v>
      </c>
      <c r="T240" s="13" t="s">
        <v>2749</v>
      </c>
      <c r="U240" s="18" t="s">
        <v>2750</v>
      </c>
      <c r="V240" s="19" t="str">
        <f>HYPERLINK("https://docs.google.com/open?id=0B5-iztf28QNJX19tUkxrNDlYRkk","Solenoid-free Start-up and Ramp-up (SR) - Diallo - Impact of the edge current produced by CHI on the pedestal stbility")</f>
        <v>Solenoid-free Start-up and Ramp-up (SR) - Diallo - Impact of the edge current produced by CHI on the pedestal stbility</v>
      </c>
      <c r="W240" s="20" t="s">
        <v>2751</v>
      </c>
    </row>
    <row r="241">
      <c r="A241" s="17">
        <v>42061.41100561343</v>
      </c>
      <c r="B241" s="13" t="s">
        <v>2752</v>
      </c>
      <c r="C241" s="13" t="s">
        <v>453</v>
      </c>
      <c r="D241" s="13" t="s">
        <v>454</v>
      </c>
      <c r="E241" s="13" t="s">
        <v>2359</v>
      </c>
      <c r="F241" s="13" t="s">
        <v>47</v>
      </c>
      <c r="G241" s="13" t="s">
        <v>28</v>
      </c>
      <c r="H241" s="13" t="s">
        <v>1178</v>
      </c>
      <c r="I241" s="13" t="s">
        <v>592</v>
      </c>
      <c r="J241" s="13" t="s">
        <v>727</v>
      </c>
      <c r="K241" s="13">
        <v>1.0</v>
      </c>
      <c r="L241" s="13">
        <v>0.5</v>
      </c>
      <c r="M241" s="13">
        <v>0.5</v>
      </c>
      <c r="N241" s="13" t="s">
        <v>2753</v>
      </c>
      <c r="O241" s="13" t="s">
        <v>2754</v>
      </c>
      <c r="P241" s="13" t="s">
        <v>2755</v>
      </c>
      <c r="Q241" s="18" t="s">
        <v>2756</v>
      </c>
      <c r="R241" s="19" t="str">
        <f>HYPERLINK("https://docs.google.com/open?id=0B5-iztf28QNJaEpXeERQZG5PdXc","Particle Control Task Force (PC) - Kolemen - Density Control with 3D coils")</f>
        <v>Particle Control Task Force (PC) - Kolemen - Density Control with 3D coils</v>
      </c>
      <c r="S241" s="20" t="s">
        <v>2757</v>
      </c>
      <c r="T241" s="13" t="s">
        <v>2758</v>
      </c>
      <c r="U241" s="18" t="s">
        <v>2759</v>
      </c>
      <c r="V241" s="19" t="str">
        <f>HYPERLINK("https://docs.google.com/open?id=0B5-iztf28QNJVnMxaGlRQnRVZEk","Particle Control Task Force (PC) - Kolemen - Density Control with 3D coils")</f>
        <v>Particle Control Task Force (PC) - Kolemen - Density Control with 3D coils</v>
      </c>
      <c r="W241" s="13" t="s">
        <v>2760</v>
      </c>
    </row>
    <row r="242">
      <c r="A242" s="17">
        <v>42061.46907846065</v>
      </c>
      <c r="B242" s="13" t="s">
        <v>2761</v>
      </c>
      <c r="C242" s="13" t="s">
        <v>453</v>
      </c>
      <c r="D242" s="13" t="s">
        <v>454</v>
      </c>
      <c r="E242" s="13" t="s">
        <v>2359</v>
      </c>
      <c r="F242" s="13" t="s">
        <v>47</v>
      </c>
      <c r="G242" s="13" t="s">
        <v>28</v>
      </c>
      <c r="H242" s="13" t="s">
        <v>1178</v>
      </c>
      <c r="I242" s="13" t="s">
        <v>154</v>
      </c>
      <c r="J242" s="13" t="s">
        <v>2762</v>
      </c>
      <c r="K242" s="13">
        <v>1.0</v>
      </c>
      <c r="L242" s="13">
        <v>1.0</v>
      </c>
      <c r="M242" s="13">
        <v>0.0</v>
      </c>
      <c r="N242" s="13" t="s">
        <v>2763</v>
      </c>
      <c r="O242" s="13" t="s">
        <v>2764</v>
      </c>
      <c r="P242" s="13" t="s">
        <v>2765</v>
      </c>
      <c r="Q242" s="18" t="s">
        <v>2766</v>
      </c>
      <c r="R242" s="19" t="str">
        <f>HYPERLINK("https://docs.google.com/open?id=0B5-iztf28QNJYi03VHgzYXQzTVU","Cross-cutting and Enabling (CC) - Kolemen - Adaptive EFC Checkout")</f>
        <v>Cross-cutting and Enabling (CC) - Kolemen - Adaptive EFC Checkout</v>
      </c>
      <c r="S242" s="20" t="s">
        <v>2767</v>
      </c>
      <c r="T242" s="13" t="s">
        <v>2768</v>
      </c>
      <c r="U242" s="18" t="s">
        <v>2769</v>
      </c>
      <c r="V242" s="19" t="str">
        <f>HYPERLINK("https://docs.google.com/open?id=0B5-iztf28QNJQ3lfVU5pN1ZfTmc","Cross-cutting and Enabling (CC) - Kolemen - Adaptive EFC Checkout")</f>
        <v>Cross-cutting and Enabling (CC) - Kolemen - Adaptive EFC Checkout</v>
      </c>
      <c r="W242" s="13" t="s">
        <v>2770</v>
      </c>
    </row>
    <row r="243">
      <c r="A243" s="14"/>
      <c r="B243" s="22"/>
      <c r="C243" s="14"/>
      <c r="D243" s="14"/>
      <c r="E243" s="14"/>
      <c r="F243" s="14"/>
      <c r="G243" s="14"/>
      <c r="H243" s="14"/>
      <c r="I243" s="14"/>
      <c r="J243" s="14"/>
      <c r="K243" s="14"/>
      <c r="L243" s="14"/>
      <c r="M243" s="14"/>
      <c r="N243" s="14"/>
      <c r="O243" s="14"/>
      <c r="P243" s="14"/>
      <c r="Q243" s="14"/>
      <c r="R243" s="23"/>
      <c r="S243" s="24"/>
      <c r="T243" s="25"/>
      <c r="U243" s="14"/>
      <c r="V243" s="14"/>
      <c r="W243" s="24"/>
      <c r="X243" s="14"/>
    </row>
    <row r="244">
      <c r="A244" s="14"/>
      <c r="B244" s="22"/>
      <c r="C244" s="14"/>
      <c r="D244" s="14"/>
      <c r="E244" s="14"/>
      <c r="F244" s="14"/>
      <c r="G244" s="14"/>
      <c r="H244" s="14"/>
      <c r="I244" s="14"/>
      <c r="J244" s="14"/>
      <c r="K244" s="14"/>
      <c r="L244" s="14"/>
      <c r="M244" s="14"/>
      <c r="N244" s="14"/>
      <c r="O244" s="14"/>
      <c r="P244" s="14"/>
      <c r="Q244" s="14"/>
      <c r="R244" s="23"/>
      <c r="S244" s="24"/>
      <c r="T244" s="25"/>
      <c r="U244" s="14"/>
      <c r="V244" s="14"/>
      <c r="W244" s="24"/>
      <c r="X244" s="14"/>
    </row>
    <row r="245">
      <c r="A245" s="14"/>
      <c r="B245" s="22"/>
      <c r="C245" s="14"/>
      <c r="D245" s="14"/>
      <c r="E245" s="14"/>
      <c r="F245" s="14"/>
      <c r="G245" s="14"/>
      <c r="H245" s="14"/>
      <c r="I245" s="14"/>
      <c r="J245" s="14"/>
      <c r="K245" s="14"/>
      <c r="L245" s="14"/>
      <c r="M245" s="14"/>
      <c r="N245" s="14"/>
      <c r="O245" s="14"/>
      <c r="P245" s="14"/>
      <c r="Q245" s="14"/>
      <c r="R245" s="23"/>
      <c r="S245" s="24"/>
      <c r="T245" s="25"/>
      <c r="U245" s="14"/>
      <c r="V245" s="14"/>
      <c r="W245" s="24"/>
      <c r="X245" s="14"/>
    </row>
    <row r="246">
      <c r="A246" s="14"/>
      <c r="B246" s="22"/>
      <c r="C246" s="14"/>
      <c r="D246" s="14"/>
      <c r="E246" s="14"/>
      <c r="F246" s="14"/>
      <c r="G246" s="14"/>
      <c r="H246" s="14"/>
      <c r="I246" s="14"/>
      <c r="J246" s="14"/>
      <c r="K246" s="14"/>
      <c r="L246" s="14"/>
      <c r="M246" s="14"/>
      <c r="N246" s="14"/>
      <c r="O246" s="14"/>
      <c r="P246" s="14"/>
      <c r="Q246" s="14"/>
      <c r="R246" s="23"/>
      <c r="S246" s="24"/>
      <c r="T246" s="25"/>
      <c r="U246" s="14"/>
      <c r="V246" s="14"/>
      <c r="W246" s="24"/>
      <c r="X246" s="14"/>
    </row>
    <row r="247">
      <c r="A247" s="14"/>
      <c r="B247" s="22"/>
      <c r="C247" s="14"/>
      <c r="D247" s="14"/>
      <c r="E247" s="14"/>
      <c r="F247" s="14"/>
      <c r="G247" s="14"/>
      <c r="H247" s="14"/>
      <c r="I247" s="14"/>
      <c r="J247" s="14"/>
      <c r="K247" s="14"/>
      <c r="L247" s="14"/>
      <c r="M247" s="14"/>
      <c r="N247" s="14"/>
      <c r="O247" s="14"/>
      <c r="P247" s="14"/>
      <c r="Q247" s="14"/>
      <c r="R247" s="23"/>
      <c r="S247" s="24"/>
      <c r="T247" s="25"/>
      <c r="U247" s="14"/>
      <c r="V247" s="14"/>
      <c r="W247" s="24"/>
      <c r="X247" s="14"/>
    </row>
    <row r="248">
      <c r="A248" s="14"/>
      <c r="B248" s="22"/>
      <c r="C248" s="14"/>
      <c r="D248" s="14"/>
      <c r="E248" s="14"/>
      <c r="F248" s="14"/>
      <c r="G248" s="14"/>
      <c r="H248" s="14"/>
      <c r="I248" s="14"/>
      <c r="J248" s="14"/>
      <c r="K248" s="14"/>
      <c r="L248" s="14"/>
      <c r="M248" s="14"/>
      <c r="N248" s="14"/>
      <c r="O248" s="14"/>
      <c r="P248" s="14"/>
      <c r="Q248" s="14"/>
      <c r="R248" s="23"/>
      <c r="S248" s="24"/>
      <c r="T248" s="25"/>
      <c r="U248" s="14"/>
      <c r="V248" s="14"/>
      <c r="W248" s="24"/>
      <c r="X248" s="14"/>
    </row>
    <row r="249">
      <c r="A249" s="14"/>
      <c r="B249" s="22"/>
      <c r="C249" s="14"/>
      <c r="D249" s="14"/>
      <c r="E249" s="14"/>
      <c r="F249" s="14"/>
      <c r="G249" s="14"/>
      <c r="H249" s="14"/>
      <c r="I249" s="14"/>
      <c r="J249" s="14"/>
      <c r="K249" s="14"/>
      <c r="L249" s="14"/>
      <c r="M249" s="14"/>
      <c r="N249" s="14"/>
      <c r="O249" s="14"/>
      <c r="P249" s="14"/>
      <c r="Q249" s="14"/>
      <c r="R249" s="23"/>
      <c r="S249" s="24"/>
      <c r="T249" s="25"/>
      <c r="U249" s="14"/>
      <c r="V249" s="14"/>
      <c r="W249" s="24"/>
      <c r="X249" s="14"/>
    </row>
    <row r="250">
      <c r="A250" s="14"/>
      <c r="B250" s="22"/>
      <c r="C250" s="14"/>
      <c r="D250" s="14"/>
      <c r="E250" s="14"/>
      <c r="F250" s="14"/>
      <c r="G250" s="14"/>
      <c r="H250" s="14"/>
      <c r="I250" s="14"/>
      <c r="J250" s="14"/>
      <c r="K250" s="14"/>
      <c r="L250" s="14"/>
      <c r="M250" s="14"/>
      <c r="N250" s="14"/>
      <c r="O250" s="14"/>
      <c r="P250" s="14"/>
      <c r="Q250" s="14"/>
      <c r="R250" s="23"/>
      <c r="S250" s="24"/>
      <c r="T250" s="25"/>
      <c r="U250" s="14"/>
      <c r="V250" s="14"/>
      <c r="W250" s="24"/>
      <c r="X250" s="14"/>
    </row>
    <row r="251">
      <c r="A251" s="14"/>
      <c r="B251" s="22"/>
      <c r="C251" s="14"/>
      <c r="D251" s="14"/>
      <c r="E251" s="14"/>
      <c r="F251" s="14"/>
      <c r="G251" s="14"/>
      <c r="H251" s="14"/>
      <c r="I251" s="14"/>
      <c r="J251" s="14"/>
      <c r="K251" s="14"/>
      <c r="L251" s="14"/>
      <c r="M251" s="14"/>
      <c r="N251" s="14"/>
      <c r="O251" s="14"/>
      <c r="P251" s="14"/>
      <c r="Q251" s="14"/>
      <c r="R251" s="23"/>
      <c r="S251" s="24"/>
      <c r="T251" s="25"/>
      <c r="U251" s="14"/>
      <c r="V251" s="14"/>
      <c r="W251" s="24"/>
      <c r="X251" s="14"/>
    </row>
    <row r="252">
      <c r="A252" s="14"/>
      <c r="B252" s="22"/>
      <c r="C252" s="14"/>
      <c r="D252" s="14"/>
      <c r="E252" s="14"/>
      <c r="F252" s="14"/>
      <c r="G252" s="14"/>
      <c r="H252" s="14"/>
      <c r="I252" s="14"/>
      <c r="J252" s="14"/>
      <c r="K252" s="14"/>
      <c r="L252" s="14"/>
      <c r="M252" s="14"/>
      <c r="N252" s="14"/>
      <c r="O252" s="14"/>
      <c r="P252" s="14"/>
      <c r="Q252" s="14"/>
      <c r="R252" s="23"/>
      <c r="S252" s="24"/>
      <c r="T252" s="25"/>
      <c r="U252" s="14"/>
      <c r="V252" s="14"/>
      <c r="W252" s="24"/>
      <c r="X252" s="14"/>
    </row>
    <row r="253">
      <c r="A253" s="14"/>
      <c r="B253" s="22"/>
      <c r="C253" s="14"/>
      <c r="D253" s="14"/>
      <c r="E253" s="14"/>
      <c r="F253" s="14"/>
      <c r="G253" s="14"/>
      <c r="H253" s="14"/>
      <c r="I253" s="14"/>
      <c r="J253" s="14"/>
      <c r="K253" s="14"/>
      <c r="L253" s="14"/>
      <c r="M253" s="14"/>
      <c r="N253" s="14"/>
      <c r="O253" s="14"/>
      <c r="P253" s="14"/>
      <c r="Q253" s="14"/>
      <c r="R253" s="23"/>
      <c r="S253" s="24"/>
      <c r="T253" s="25"/>
      <c r="U253" s="14"/>
      <c r="V253" s="14"/>
      <c r="W253" s="24"/>
      <c r="X253" s="14"/>
    </row>
    <row r="254">
      <c r="A254" s="14"/>
      <c r="B254" s="22"/>
      <c r="C254" s="14"/>
      <c r="D254" s="14"/>
      <c r="E254" s="14"/>
      <c r="F254" s="14"/>
      <c r="G254" s="14"/>
      <c r="H254" s="14"/>
      <c r="I254" s="14"/>
      <c r="J254" s="14"/>
      <c r="K254" s="14"/>
      <c r="L254" s="14"/>
      <c r="M254" s="14"/>
      <c r="N254" s="14"/>
      <c r="O254" s="14"/>
      <c r="P254" s="14"/>
      <c r="Q254" s="14"/>
      <c r="R254" s="23"/>
      <c r="S254" s="24"/>
      <c r="T254" s="25"/>
      <c r="U254" s="14"/>
      <c r="V254" s="14"/>
      <c r="W254" s="24"/>
      <c r="X254" s="14"/>
    </row>
    <row r="255">
      <c r="A255" s="14"/>
      <c r="B255" s="22"/>
      <c r="C255" s="14"/>
      <c r="D255" s="14"/>
      <c r="E255" s="14"/>
      <c r="F255" s="14"/>
      <c r="G255" s="14"/>
      <c r="H255" s="14"/>
      <c r="I255" s="14"/>
      <c r="J255" s="14"/>
      <c r="K255" s="14"/>
      <c r="L255" s="14"/>
      <c r="M255" s="14"/>
      <c r="N255" s="14"/>
      <c r="O255" s="14"/>
      <c r="P255" s="14"/>
      <c r="Q255" s="14"/>
      <c r="R255" s="23"/>
      <c r="S255" s="24"/>
      <c r="T255" s="25"/>
      <c r="U255" s="14"/>
      <c r="V255" s="14"/>
      <c r="W255" s="24"/>
      <c r="X255" s="14"/>
    </row>
    <row r="256">
      <c r="A256" s="14"/>
      <c r="B256" s="22"/>
      <c r="C256" s="14"/>
      <c r="D256" s="14"/>
      <c r="E256" s="14"/>
      <c r="F256" s="14"/>
      <c r="G256" s="14"/>
      <c r="H256" s="14"/>
      <c r="I256" s="14"/>
      <c r="J256" s="14"/>
      <c r="K256" s="14"/>
      <c r="L256" s="14"/>
      <c r="M256" s="14"/>
      <c r="N256" s="14"/>
      <c r="O256" s="14"/>
      <c r="P256" s="14"/>
      <c r="Q256" s="14"/>
      <c r="R256" s="23"/>
      <c r="S256" s="24"/>
      <c r="T256" s="25"/>
      <c r="U256" s="14"/>
      <c r="V256" s="14"/>
      <c r="W256" s="24"/>
      <c r="X256" s="14"/>
    </row>
    <row r="257">
      <c r="A257" s="14"/>
      <c r="B257" s="22"/>
      <c r="C257" s="14"/>
      <c r="D257" s="14"/>
      <c r="E257" s="14"/>
      <c r="F257" s="14"/>
      <c r="G257" s="14"/>
      <c r="H257" s="14"/>
      <c r="I257" s="14"/>
      <c r="J257" s="14"/>
      <c r="K257" s="14"/>
      <c r="L257" s="14"/>
      <c r="M257" s="14"/>
      <c r="N257" s="14"/>
      <c r="O257" s="14"/>
      <c r="P257" s="14"/>
      <c r="Q257" s="14"/>
      <c r="R257" s="23"/>
      <c r="S257" s="24"/>
      <c r="T257" s="25"/>
      <c r="U257" s="14"/>
      <c r="V257" s="14"/>
      <c r="W257" s="24"/>
      <c r="X257" s="14"/>
    </row>
    <row r="258">
      <c r="A258" s="14"/>
      <c r="B258" s="22"/>
      <c r="C258" s="14"/>
      <c r="D258" s="14"/>
      <c r="E258" s="14"/>
      <c r="F258" s="14"/>
      <c r="G258" s="14"/>
      <c r="H258" s="14"/>
      <c r="I258" s="14"/>
      <c r="J258" s="14"/>
      <c r="K258" s="14"/>
      <c r="L258" s="14"/>
      <c r="M258" s="14"/>
      <c r="N258" s="14"/>
      <c r="O258" s="14"/>
      <c r="P258" s="14"/>
      <c r="Q258" s="14"/>
      <c r="R258" s="23"/>
      <c r="S258" s="24"/>
      <c r="T258" s="25"/>
      <c r="U258" s="14"/>
      <c r="V258" s="14"/>
      <c r="W258" s="24"/>
      <c r="X258" s="14"/>
    </row>
    <row r="259">
      <c r="A259" s="14"/>
      <c r="B259" s="22"/>
      <c r="C259" s="14"/>
      <c r="D259" s="14"/>
      <c r="E259" s="14"/>
      <c r="F259" s="14"/>
      <c r="G259" s="14"/>
      <c r="H259" s="14"/>
      <c r="I259" s="14"/>
      <c r="J259" s="14"/>
      <c r="K259" s="14"/>
      <c r="L259" s="14"/>
      <c r="M259" s="14"/>
      <c r="N259" s="14"/>
      <c r="O259" s="14"/>
      <c r="P259" s="14"/>
      <c r="Q259" s="14"/>
      <c r="R259" s="23"/>
      <c r="S259" s="24"/>
      <c r="T259" s="25"/>
      <c r="U259" s="14"/>
      <c r="V259" s="14"/>
      <c r="W259" s="24"/>
      <c r="X259" s="14"/>
    </row>
    <row r="260">
      <c r="A260" s="14"/>
      <c r="B260" s="22"/>
      <c r="C260" s="14"/>
      <c r="D260" s="14"/>
      <c r="E260" s="14"/>
      <c r="F260" s="14"/>
      <c r="G260" s="14"/>
      <c r="H260" s="14"/>
      <c r="I260" s="14"/>
      <c r="J260" s="14"/>
      <c r="K260" s="14"/>
      <c r="L260" s="14"/>
      <c r="M260" s="14"/>
      <c r="N260" s="14"/>
      <c r="O260" s="14"/>
      <c r="P260" s="14"/>
      <c r="Q260" s="14"/>
      <c r="R260" s="23"/>
      <c r="S260" s="24"/>
      <c r="T260" s="25"/>
      <c r="U260" s="14"/>
      <c r="V260" s="14"/>
      <c r="W260" s="24"/>
      <c r="X260" s="14"/>
    </row>
    <row r="261">
      <c r="A261" s="14"/>
      <c r="B261" s="22"/>
      <c r="C261" s="14"/>
      <c r="D261" s="14"/>
      <c r="E261" s="14"/>
      <c r="F261" s="14"/>
      <c r="G261" s="14"/>
      <c r="H261" s="14"/>
      <c r="I261" s="14"/>
      <c r="J261" s="14"/>
      <c r="K261" s="14"/>
      <c r="L261" s="14"/>
      <c r="M261" s="14"/>
      <c r="N261" s="14"/>
      <c r="O261" s="14"/>
      <c r="P261" s="14"/>
      <c r="Q261" s="14"/>
      <c r="R261" s="23"/>
      <c r="S261" s="24"/>
      <c r="T261" s="25"/>
      <c r="U261" s="14"/>
      <c r="V261" s="14"/>
      <c r="W261" s="24"/>
      <c r="X261" s="14"/>
    </row>
    <row r="262">
      <c r="A262" s="14"/>
      <c r="B262" s="22"/>
      <c r="C262" s="14"/>
      <c r="D262" s="14"/>
      <c r="E262" s="14"/>
      <c r="F262" s="14"/>
      <c r="G262" s="14"/>
      <c r="H262" s="14"/>
      <c r="I262" s="14"/>
      <c r="J262" s="14"/>
      <c r="K262" s="14"/>
      <c r="L262" s="14"/>
      <c r="M262" s="14"/>
      <c r="N262" s="14"/>
      <c r="O262" s="14"/>
      <c r="P262" s="14"/>
      <c r="Q262" s="14"/>
      <c r="R262" s="23"/>
      <c r="S262" s="24"/>
      <c r="T262" s="25"/>
      <c r="U262" s="14"/>
      <c r="V262" s="14"/>
      <c r="W262" s="24"/>
      <c r="X262" s="14"/>
    </row>
    <row r="263">
      <c r="A263" s="14"/>
      <c r="B263" s="22"/>
      <c r="C263" s="14"/>
      <c r="D263" s="14"/>
      <c r="E263" s="14"/>
      <c r="F263" s="14"/>
      <c r="G263" s="14"/>
      <c r="H263" s="14"/>
      <c r="I263" s="14"/>
      <c r="J263" s="14"/>
      <c r="K263" s="14"/>
      <c r="L263" s="14"/>
      <c r="M263" s="14"/>
      <c r="N263" s="14"/>
      <c r="O263" s="14"/>
      <c r="P263" s="14"/>
      <c r="Q263" s="14"/>
      <c r="R263" s="23"/>
      <c r="S263" s="24"/>
      <c r="T263" s="25"/>
      <c r="U263" s="14"/>
      <c r="V263" s="14"/>
      <c r="W263" s="24"/>
      <c r="X263" s="14"/>
    </row>
    <row r="264">
      <c r="A264" s="14"/>
      <c r="B264" s="22"/>
      <c r="C264" s="14"/>
      <c r="D264" s="14"/>
      <c r="E264" s="14"/>
      <c r="F264" s="14"/>
      <c r="G264" s="14"/>
      <c r="H264" s="14"/>
      <c r="I264" s="14"/>
      <c r="J264" s="14"/>
      <c r="K264" s="14"/>
      <c r="L264" s="14"/>
      <c r="M264" s="14"/>
      <c r="N264" s="14"/>
      <c r="O264" s="14"/>
      <c r="P264" s="14"/>
      <c r="Q264" s="14"/>
      <c r="R264" s="23"/>
      <c r="S264" s="24"/>
      <c r="T264" s="25"/>
      <c r="U264" s="14"/>
      <c r="V264" s="14"/>
      <c r="W264" s="24"/>
      <c r="X264" s="14"/>
    </row>
    <row r="265">
      <c r="A265" s="14"/>
      <c r="B265" s="22"/>
      <c r="C265" s="14"/>
      <c r="D265" s="14"/>
      <c r="E265" s="14"/>
      <c r="F265" s="14"/>
      <c r="G265" s="14"/>
      <c r="H265" s="14"/>
      <c r="I265" s="14"/>
      <c r="J265" s="14"/>
      <c r="K265" s="14"/>
      <c r="L265" s="14"/>
      <c r="M265" s="14"/>
      <c r="N265" s="14"/>
      <c r="O265" s="14"/>
      <c r="P265" s="14"/>
      <c r="Q265" s="14"/>
      <c r="R265" s="23"/>
      <c r="S265" s="24"/>
      <c r="T265" s="25"/>
      <c r="U265" s="14"/>
      <c r="V265" s="14"/>
      <c r="W265" s="24"/>
      <c r="X265" s="14"/>
    </row>
    <row r="266">
      <c r="A266" s="14"/>
      <c r="B266" s="22"/>
      <c r="C266" s="14"/>
      <c r="D266" s="14"/>
      <c r="E266" s="14"/>
      <c r="F266" s="14"/>
      <c r="G266" s="14"/>
      <c r="H266" s="14"/>
      <c r="I266" s="14"/>
      <c r="J266" s="14"/>
      <c r="K266" s="14"/>
      <c r="L266" s="14"/>
      <c r="M266" s="14"/>
      <c r="N266" s="14"/>
      <c r="O266" s="14"/>
      <c r="P266" s="14"/>
      <c r="Q266" s="14"/>
      <c r="R266" s="23"/>
      <c r="S266" s="24"/>
      <c r="T266" s="25"/>
      <c r="U266" s="14"/>
      <c r="V266" s="14"/>
      <c r="W266" s="24"/>
      <c r="X266" s="14"/>
    </row>
    <row r="267">
      <c r="A267" s="14"/>
      <c r="B267" s="22"/>
      <c r="C267" s="14"/>
      <c r="D267" s="14"/>
      <c r="E267" s="14"/>
      <c r="F267" s="14"/>
      <c r="G267" s="14"/>
      <c r="H267" s="14"/>
      <c r="I267" s="14"/>
      <c r="J267" s="14"/>
      <c r="K267" s="14"/>
      <c r="L267" s="14"/>
      <c r="M267" s="14"/>
      <c r="N267" s="14"/>
      <c r="O267" s="14"/>
      <c r="P267" s="14"/>
      <c r="Q267" s="14"/>
      <c r="R267" s="23"/>
      <c r="S267" s="24"/>
      <c r="T267" s="25"/>
      <c r="U267" s="14"/>
      <c r="V267" s="14"/>
      <c r="W267" s="24"/>
      <c r="X267" s="14"/>
    </row>
    <row r="268">
      <c r="A268" s="14"/>
      <c r="B268" s="22"/>
      <c r="C268" s="14"/>
      <c r="D268" s="14"/>
      <c r="E268" s="14"/>
      <c r="F268" s="14"/>
      <c r="G268" s="14"/>
      <c r="H268" s="14"/>
      <c r="I268" s="14"/>
      <c r="J268" s="14"/>
      <c r="K268" s="14"/>
      <c r="L268" s="14"/>
      <c r="M268" s="14"/>
      <c r="N268" s="14"/>
      <c r="O268" s="14"/>
      <c r="P268" s="14"/>
      <c r="Q268" s="14"/>
      <c r="R268" s="23"/>
      <c r="S268" s="24"/>
      <c r="T268" s="25"/>
      <c r="U268" s="14"/>
      <c r="V268" s="14"/>
      <c r="W268" s="24"/>
      <c r="X268" s="14"/>
    </row>
    <row r="269">
      <c r="A269" s="14"/>
      <c r="B269" s="22"/>
      <c r="C269" s="14"/>
      <c r="D269" s="14"/>
      <c r="E269" s="14"/>
      <c r="F269" s="14"/>
      <c r="G269" s="14"/>
      <c r="H269" s="14"/>
      <c r="I269" s="14"/>
      <c r="J269" s="14"/>
      <c r="K269" s="14"/>
      <c r="L269" s="14"/>
      <c r="M269" s="14"/>
      <c r="N269" s="14"/>
      <c r="O269" s="14"/>
      <c r="P269" s="14"/>
      <c r="Q269" s="14"/>
      <c r="R269" s="23"/>
      <c r="S269" s="24"/>
      <c r="T269" s="25"/>
      <c r="U269" s="14"/>
      <c r="V269" s="14"/>
      <c r="W269" s="24"/>
      <c r="X269" s="14"/>
    </row>
    <row r="270">
      <c r="A270" s="14"/>
      <c r="B270" s="22"/>
      <c r="C270" s="14"/>
      <c r="D270" s="14"/>
      <c r="E270" s="14"/>
      <c r="F270" s="14"/>
      <c r="G270" s="14"/>
      <c r="H270" s="14"/>
      <c r="I270" s="14"/>
      <c r="J270" s="14"/>
      <c r="K270" s="14"/>
      <c r="L270" s="14"/>
      <c r="M270" s="14"/>
      <c r="N270" s="14"/>
      <c r="O270" s="14"/>
      <c r="P270" s="14"/>
      <c r="Q270" s="14"/>
      <c r="R270" s="23"/>
      <c r="S270" s="24"/>
      <c r="T270" s="25"/>
      <c r="U270" s="14"/>
      <c r="V270" s="14"/>
      <c r="W270" s="24"/>
      <c r="X270" s="14"/>
    </row>
    <row r="271">
      <c r="A271" s="14"/>
      <c r="B271" s="22"/>
      <c r="C271" s="14"/>
      <c r="D271" s="14"/>
      <c r="E271" s="14"/>
      <c r="F271" s="14"/>
      <c r="G271" s="14"/>
      <c r="H271" s="14"/>
      <c r="I271" s="14"/>
      <c r="J271" s="14"/>
      <c r="K271" s="14"/>
      <c r="L271" s="14"/>
      <c r="M271" s="14"/>
      <c r="N271" s="14"/>
      <c r="O271" s="14"/>
      <c r="P271" s="14"/>
      <c r="Q271" s="14"/>
      <c r="R271" s="23"/>
      <c r="S271" s="24"/>
      <c r="T271" s="25"/>
      <c r="U271" s="14"/>
      <c r="V271" s="14"/>
      <c r="W271" s="24"/>
      <c r="X271" s="14"/>
    </row>
    <row r="272">
      <c r="A272" s="14"/>
      <c r="B272" s="22"/>
      <c r="C272" s="14"/>
      <c r="D272" s="14"/>
      <c r="E272" s="14"/>
      <c r="F272" s="14"/>
      <c r="G272" s="14"/>
      <c r="H272" s="14"/>
      <c r="I272" s="14"/>
      <c r="J272" s="14"/>
      <c r="K272" s="14"/>
      <c r="L272" s="14"/>
      <c r="M272" s="14"/>
      <c r="N272" s="14"/>
      <c r="O272" s="14"/>
      <c r="P272" s="14"/>
      <c r="Q272" s="14"/>
      <c r="R272" s="23"/>
      <c r="S272" s="24"/>
      <c r="T272" s="25"/>
      <c r="U272" s="14"/>
      <c r="V272" s="14"/>
      <c r="W272" s="24"/>
      <c r="X272" s="14"/>
    </row>
    <row r="273">
      <c r="A273" s="14"/>
      <c r="B273" s="22"/>
      <c r="C273" s="14"/>
      <c r="D273" s="14"/>
      <c r="E273" s="14"/>
      <c r="F273" s="14"/>
      <c r="G273" s="14"/>
      <c r="H273" s="14"/>
      <c r="I273" s="14"/>
      <c r="J273" s="14"/>
      <c r="K273" s="14"/>
      <c r="L273" s="14"/>
      <c r="M273" s="14"/>
      <c r="N273" s="14"/>
      <c r="O273" s="14"/>
      <c r="P273" s="14"/>
      <c r="Q273" s="14"/>
      <c r="R273" s="23"/>
      <c r="S273" s="24"/>
      <c r="T273" s="25"/>
      <c r="U273" s="14"/>
      <c r="V273" s="14"/>
      <c r="W273" s="24"/>
      <c r="X273" s="14"/>
    </row>
    <row r="274">
      <c r="A274" s="14"/>
      <c r="B274" s="22"/>
      <c r="C274" s="14"/>
      <c r="D274" s="14"/>
      <c r="E274" s="14"/>
      <c r="F274" s="14"/>
      <c r="G274" s="14"/>
      <c r="H274" s="14"/>
      <c r="I274" s="14"/>
      <c r="J274" s="14"/>
      <c r="K274" s="14"/>
      <c r="L274" s="14"/>
      <c r="M274" s="14"/>
      <c r="N274" s="14"/>
      <c r="O274" s="14"/>
      <c r="P274" s="14"/>
      <c r="Q274" s="14"/>
      <c r="R274" s="23"/>
      <c r="S274" s="24"/>
      <c r="T274" s="25"/>
      <c r="U274" s="14"/>
      <c r="V274" s="14"/>
      <c r="W274" s="24"/>
      <c r="X274" s="14"/>
    </row>
    <row r="275">
      <c r="A275" s="14"/>
      <c r="B275" s="22"/>
      <c r="C275" s="14"/>
      <c r="D275" s="14"/>
      <c r="E275" s="14"/>
      <c r="F275" s="14"/>
      <c r="G275" s="14"/>
      <c r="H275" s="14"/>
      <c r="I275" s="14"/>
      <c r="J275" s="14"/>
      <c r="K275" s="14"/>
      <c r="L275" s="14"/>
      <c r="M275" s="14"/>
      <c r="N275" s="14"/>
      <c r="O275" s="14"/>
      <c r="P275" s="14"/>
      <c r="Q275" s="14"/>
      <c r="R275" s="23"/>
      <c r="S275" s="24"/>
      <c r="T275" s="25"/>
      <c r="U275" s="14"/>
      <c r="V275" s="14"/>
      <c r="W275" s="24"/>
      <c r="X275" s="14"/>
    </row>
    <row r="276">
      <c r="A276" s="14"/>
      <c r="B276" s="22"/>
      <c r="C276" s="14"/>
      <c r="D276" s="14"/>
      <c r="E276" s="14"/>
      <c r="F276" s="14"/>
      <c r="G276" s="14"/>
      <c r="H276" s="14"/>
      <c r="I276" s="14"/>
      <c r="J276" s="14"/>
      <c r="K276" s="14"/>
      <c r="L276" s="14"/>
      <c r="M276" s="14"/>
      <c r="N276" s="14"/>
      <c r="O276" s="14"/>
      <c r="P276" s="14"/>
      <c r="Q276" s="14"/>
      <c r="R276" s="23"/>
      <c r="S276" s="24"/>
      <c r="T276" s="25"/>
      <c r="U276" s="14"/>
      <c r="V276" s="14"/>
      <c r="W276" s="24"/>
      <c r="X276" s="14"/>
    </row>
    <row r="277">
      <c r="A277" s="14"/>
      <c r="B277" s="22"/>
      <c r="C277" s="14"/>
      <c r="D277" s="14"/>
      <c r="E277" s="14"/>
      <c r="F277" s="14"/>
      <c r="G277" s="14"/>
      <c r="H277" s="14"/>
      <c r="I277" s="14"/>
      <c r="J277" s="14"/>
      <c r="K277" s="14"/>
      <c r="L277" s="14"/>
      <c r="M277" s="14"/>
      <c r="N277" s="14"/>
      <c r="O277" s="14"/>
      <c r="P277" s="14"/>
      <c r="Q277" s="14"/>
      <c r="R277" s="23"/>
      <c r="S277" s="24"/>
      <c r="T277" s="25"/>
      <c r="U277" s="14"/>
      <c r="V277" s="14"/>
      <c r="W277" s="24"/>
      <c r="X277" s="14"/>
    </row>
    <row r="278">
      <c r="A278" s="14"/>
      <c r="B278" s="22"/>
      <c r="C278" s="14"/>
      <c r="D278" s="14"/>
      <c r="E278" s="14"/>
      <c r="F278" s="14"/>
      <c r="G278" s="14"/>
      <c r="H278" s="14"/>
      <c r="I278" s="14"/>
      <c r="J278" s="14"/>
      <c r="K278" s="14"/>
      <c r="L278" s="14"/>
      <c r="M278" s="14"/>
      <c r="N278" s="14"/>
      <c r="O278" s="14"/>
      <c r="P278" s="14"/>
      <c r="Q278" s="14"/>
      <c r="R278" s="23"/>
      <c r="S278" s="24"/>
      <c r="T278" s="25"/>
      <c r="U278" s="14"/>
      <c r="V278" s="14"/>
      <c r="W278" s="24"/>
      <c r="X278" s="14"/>
    </row>
    <row r="279">
      <c r="A279" s="14"/>
      <c r="B279" s="22"/>
      <c r="C279" s="14"/>
      <c r="D279" s="14"/>
      <c r="E279" s="14"/>
      <c r="F279" s="14"/>
      <c r="G279" s="14"/>
      <c r="H279" s="14"/>
      <c r="I279" s="14"/>
      <c r="J279" s="14"/>
      <c r="K279" s="14"/>
      <c r="L279" s="14"/>
      <c r="M279" s="14"/>
      <c r="N279" s="14"/>
      <c r="O279" s="14"/>
      <c r="P279" s="14"/>
      <c r="Q279" s="14"/>
      <c r="R279" s="23"/>
      <c r="S279" s="24"/>
      <c r="T279" s="25"/>
      <c r="U279" s="14"/>
      <c r="V279" s="14"/>
      <c r="W279" s="24"/>
      <c r="X279" s="14"/>
    </row>
    <row r="280">
      <c r="A280" s="14"/>
      <c r="B280" s="22"/>
      <c r="C280" s="14"/>
      <c r="D280" s="14"/>
      <c r="E280" s="14"/>
      <c r="F280" s="14"/>
      <c r="G280" s="14"/>
      <c r="H280" s="14"/>
      <c r="I280" s="14"/>
      <c r="J280" s="14"/>
      <c r="K280" s="14"/>
      <c r="L280" s="14"/>
      <c r="M280" s="14"/>
      <c r="N280" s="14"/>
      <c r="O280" s="14"/>
      <c r="P280" s="14"/>
      <c r="Q280" s="14"/>
      <c r="R280" s="23"/>
      <c r="S280" s="24"/>
      <c r="T280" s="25"/>
      <c r="U280" s="14"/>
      <c r="V280" s="14"/>
      <c r="W280" s="24"/>
      <c r="X280" s="14"/>
    </row>
    <row r="281">
      <c r="A281" s="14"/>
      <c r="B281" s="22"/>
      <c r="C281" s="14"/>
      <c r="D281" s="14"/>
      <c r="E281" s="14"/>
      <c r="F281" s="14"/>
      <c r="G281" s="14"/>
      <c r="H281" s="14"/>
      <c r="I281" s="14"/>
      <c r="J281" s="14"/>
      <c r="K281" s="14"/>
      <c r="L281" s="14"/>
      <c r="M281" s="14"/>
      <c r="N281" s="14"/>
      <c r="O281" s="14"/>
      <c r="P281" s="14"/>
      <c r="Q281" s="14"/>
      <c r="R281" s="23"/>
      <c r="S281" s="24"/>
      <c r="T281" s="25"/>
      <c r="U281" s="14"/>
      <c r="V281" s="14"/>
      <c r="W281" s="24"/>
      <c r="X281" s="14"/>
    </row>
    <row r="282">
      <c r="A282" s="14"/>
      <c r="B282" s="22"/>
      <c r="C282" s="14"/>
      <c r="D282" s="14"/>
      <c r="E282" s="14"/>
      <c r="F282" s="14"/>
      <c r="G282" s="14"/>
      <c r="H282" s="14"/>
      <c r="I282" s="14"/>
      <c r="J282" s="14"/>
      <c r="K282" s="14"/>
      <c r="L282" s="14"/>
      <c r="M282" s="14"/>
      <c r="N282" s="14"/>
      <c r="O282" s="14"/>
      <c r="P282" s="14"/>
      <c r="Q282" s="14"/>
      <c r="R282" s="23"/>
      <c r="S282" s="24"/>
      <c r="T282" s="25"/>
      <c r="U282" s="14"/>
      <c r="V282" s="14"/>
      <c r="W282" s="24"/>
      <c r="X282" s="14"/>
    </row>
    <row r="283">
      <c r="A283" s="14"/>
      <c r="B283" s="22"/>
      <c r="C283" s="14"/>
      <c r="D283" s="14"/>
      <c r="E283" s="14"/>
      <c r="F283" s="14"/>
      <c r="G283" s="14"/>
      <c r="H283" s="14"/>
      <c r="I283" s="14"/>
      <c r="J283" s="14"/>
      <c r="K283" s="14"/>
      <c r="L283" s="14"/>
      <c r="M283" s="14"/>
      <c r="N283" s="14"/>
      <c r="O283" s="14"/>
      <c r="P283" s="14"/>
      <c r="Q283" s="14"/>
      <c r="R283" s="23"/>
      <c r="S283" s="24"/>
      <c r="T283" s="25"/>
      <c r="U283" s="14"/>
      <c r="V283" s="14"/>
      <c r="W283" s="24"/>
      <c r="X283" s="14"/>
    </row>
    <row r="284">
      <c r="A284" s="14"/>
      <c r="B284" s="22"/>
      <c r="C284" s="14"/>
      <c r="D284" s="14"/>
      <c r="E284" s="14"/>
      <c r="F284" s="14"/>
      <c r="G284" s="14"/>
      <c r="H284" s="14"/>
      <c r="I284" s="14"/>
      <c r="J284" s="14"/>
      <c r="K284" s="14"/>
      <c r="L284" s="14"/>
      <c r="M284" s="14"/>
      <c r="N284" s="14"/>
      <c r="O284" s="14"/>
      <c r="P284" s="14"/>
      <c r="Q284" s="14"/>
      <c r="R284" s="23"/>
      <c r="S284" s="24"/>
      <c r="T284" s="25"/>
      <c r="U284" s="14"/>
      <c r="V284" s="14"/>
      <c r="W284" s="24"/>
      <c r="X284" s="14"/>
    </row>
    <row r="285">
      <c r="A285" s="14"/>
      <c r="B285" s="22"/>
      <c r="C285" s="14"/>
      <c r="D285" s="14"/>
      <c r="E285" s="14"/>
      <c r="F285" s="14"/>
      <c r="G285" s="14"/>
      <c r="H285" s="14"/>
      <c r="I285" s="14"/>
      <c r="J285" s="14"/>
      <c r="K285" s="14"/>
      <c r="L285" s="14"/>
      <c r="M285" s="14"/>
      <c r="N285" s="14"/>
      <c r="O285" s="14"/>
      <c r="P285" s="14"/>
      <c r="Q285" s="14"/>
      <c r="R285" s="23"/>
      <c r="S285" s="24"/>
      <c r="T285" s="25"/>
      <c r="U285" s="14"/>
      <c r="V285" s="14"/>
      <c r="W285" s="24"/>
      <c r="X285" s="14"/>
    </row>
    <row r="286">
      <c r="A286" s="14"/>
      <c r="B286" s="22"/>
      <c r="C286" s="14"/>
      <c r="D286" s="14"/>
      <c r="E286" s="14"/>
      <c r="F286" s="14"/>
      <c r="G286" s="14"/>
      <c r="H286" s="14"/>
      <c r="I286" s="14"/>
      <c r="J286" s="14"/>
      <c r="K286" s="14"/>
      <c r="L286" s="14"/>
      <c r="M286" s="14"/>
      <c r="N286" s="14"/>
      <c r="O286" s="14"/>
      <c r="P286" s="14"/>
      <c r="Q286" s="14"/>
      <c r="R286" s="23"/>
      <c r="S286" s="24"/>
      <c r="T286" s="25"/>
      <c r="U286" s="14"/>
      <c r="V286" s="14"/>
      <c r="W286" s="24"/>
      <c r="X286" s="14"/>
    </row>
    <row r="287">
      <c r="A287" s="14"/>
      <c r="B287" s="22"/>
      <c r="C287" s="14"/>
      <c r="D287" s="14"/>
      <c r="E287" s="14"/>
      <c r="F287" s="14"/>
      <c r="G287" s="14"/>
      <c r="H287" s="14"/>
      <c r="I287" s="14"/>
      <c r="J287" s="14"/>
      <c r="K287" s="14"/>
      <c r="L287" s="14"/>
      <c r="M287" s="14"/>
      <c r="N287" s="14"/>
      <c r="O287" s="14"/>
      <c r="P287" s="14"/>
      <c r="Q287" s="14"/>
      <c r="R287" s="23"/>
      <c r="S287" s="24"/>
      <c r="T287" s="25"/>
      <c r="U287" s="14"/>
      <c r="V287" s="14"/>
      <c r="W287" s="24"/>
      <c r="X287" s="14"/>
    </row>
    <row r="288">
      <c r="A288" s="14"/>
      <c r="B288" s="22"/>
      <c r="C288" s="14"/>
      <c r="D288" s="14"/>
      <c r="E288" s="14"/>
      <c r="F288" s="14"/>
      <c r="G288" s="14"/>
      <c r="H288" s="14"/>
      <c r="I288" s="14"/>
      <c r="J288" s="14"/>
      <c r="K288" s="14"/>
      <c r="L288" s="14"/>
      <c r="M288" s="14"/>
      <c r="N288" s="14"/>
      <c r="O288" s="14"/>
      <c r="P288" s="14"/>
      <c r="Q288" s="14"/>
      <c r="R288" s="23"/>
      <c r="S288" s="24"/>
      <c r="T288" s="25"/>
      <c r="U288" s="14"/>
      <c r="V288" s="14"/>
      <c r="W288" s="24"/>
      <c r="X288" s="14"/>
    </row>
    <row r="289">
      <c r="A289" s="14"/>
      <c r="B289" s="22"/>
      <c r="C289" s="14"/>
      <c r="D289" s="14"/>
      <c r="E289" s="14"/>
      <c r="F289" s="14"/>
      <c r="G289" s="14"/>
      <c r="H289" s="14"/>
      <c r="I289" s="14"/>
      <c r="J289" s="14"/>
      <c r="K289" s="14"/>
      <c r="L289" s="14"/>
      <c r="M289" s="14"/>
      <c r="N289" s="14"/>
      <c r="O289" s="14"/>
      <c r="P289" s="14"/>
      <c r="Q289" s="14"/>
      <c r="R289" s="23"/>
      <c r="S289" s="24"/>
      <c r="T289" s="25"/>
      <c r="U289" s="14"/>
      <c r="V289" s="14"/>
      <c r="W289" s="24"/>
      <c r="X289" s="14"/>
    </row>
    <row r="290">
      <c r="A290" s="14"/>
      <c r="B290" s="22"/>
      <c r="C290" s="14"/>
      <c r="D290" s="14"/>
      <c r="E290" s="14"/>
      <c r="F290" s="14"/>
      <c r="G290" s="14"/>
      <c r="H290" s="14"/>
      <c r="I290" s="14"/>
      <c r="J290" s="14"/>
      <c r="K290" s="14"/>
      <c r="L290" s="14"/>
      <c r="M290" s="14"/>
      <c r="N290" s="14"/>
      <c r="O290" s="14"/>
      <c r="P290" s="14"/>
      <c r="Q290" s="14"/>
      <c r="R290" s="23"/>
      <c r="S290" s="24"/>
      <c r="T290" s="25"/>
      <c r="U290" s="14"/>
      <c r="V290" s="14"/>
      <c r="W290" s="24"/>
      <c r="X290" s="14"/>
    </row>
    <row r="291">
      <c r="A291" s="14"/>
      <c r="B291" s="22"/>
      <c r="C291" s="14"/>
      <c r="D291" s="14"/>
      <c r="E291" s="14"/>
      <c r="F291" s="14"/>
      <c r="G291" s="14"/>
      <c r="H291" s="14"/>
      <c r="I291" s="14"/>
      <c r="J291" s="14"/>
      <c r="K291" s="14"/>
      <c r="L291" s="14"/>
      <c r="M291" s="14"/>
      <c r="N291" s="14"/>
      <c r="O291" s="14"/>
      <c r="P291" s="14"/>
      <c r="Q291" s="14"/>
      <c r="R291" s="23"/>
      <c r="S291" s="24"/>
      <c r="T291" s="25"/>
      <c r="U291" s="14"/>
      <c r="V291" s="14"/>
      <c r="W291" s="24"/>
      <c r="X291" s="14"/>
    </row>
    <row r="292">
      <c r="A292" s="14"/>
      <c r="B292" s="22"/>
      <c r="C292" s="14"/>
      <c r="D292" s="14"/>
      <c r="E292" s="14"/>
      <c r="F292" s="14"/>
      <c r="G292" s="14"/>
      <c r="H292" s="14"/>
      <c r="I292" s="14"/>
      <c r="J292" s="14"/>
      <c r="K292" s="14"/>
      <c r="L292" s="14"/>
      <c r="M292" s="14"/>
      <c r="N292" s="14"/>
      <c r="O292" s="14"/>
      <c r="P292" s="14"/>
      <c r="Q292" s="14"/>
      <c r="R292" s="23"/>
      <c r="S292" s="24"/>
      <c r="T292" s="25"/>
      <c r="U292" s="14"/>
      <c r="V292" s="14"/>
      <c r="W292" s="24"/>
      <c r="X292" s="14"/>
    </row>
    <row r="293">
      <c r="A293" s="14"/>
      <c r="B293" s="22"/>
      <c r="C293" s="14"/>
      <c r="D293" s="14"/>
      <c r="E293" s="14"/>
      <c r="F293" s="14"/>
      <c r="G293" s="14"/>
      <c r="H293" s="14"/>
      <c r="I293" s="14"/>
      <c r="J293" s="14"/>
      <c r="K293" s="14"/>
      <c r="L293" s="14"/>
      <c r="M293" s="14"/>
      <c r="N293" s="14"/>
      <c r="O293" s="14"/>
      <c r="P293" s="14"/>
      <c r="Q293" s="14"/>
      <c r="R293" s="23"/>
      <c r="S293" s="24"/>
      <c r="T293" s="25"/>
      <c r="U293" s="14"/>
      <c r="V293" s="14"/>
      <c r="W293" s="24"/>
      <c r="X293" s="14"/>
    </row>
    <row r="294">
      <c r="A294" s="14"/>
      <c r="B294" s="22"/>
      <c r="C294" s="14"/>
      <c r="D294" s="14"/>
      <c r="E294" s="14"/>
      <c r="F294" s="14"/>
      <c r="G294" s="14"/>
      <c r="H294" s="14"/>
      <c r="I294" s="14"/>
      <c r="J294" s="14"/>
      <c r="K294" s="14"/>
      <c r="L294" s="14"/>
      <c r="M294" s="14"/>
      <c r="N294" s="14"/>
      <c r="O294" s="14"/>
      <c r="P294" s="14"/>
      <c r="Q294" s="14"/>
      <c r="R294" s="23"/>
      <c r="S294" s="24"/>
      <c r="T294" s="25"/>
      <c r="U294" s="14"/>
      <c r="V294" s="14"/>
      <c r="W294" s="24"/>
      <c r="X294" s="14"/>
    </row>
    <row r="295">
      <c r="A295" s="14"/>
      <c r="B295" s="22"/>
      <c r="C295" s="14"/>
      <c r="D295" s="14"/>
      <c r="E295" s="14"/>
      <c r="F295" s="14"/>
      <c r="G295" s="14"/>
      <c r="H295" s="14"/>
      <c r="I295" s="14"/>
      <c r="J295" s="14"/>
      <c r="K295" s="14"/>
      <c r="L295" s="14"/>
      <c r="M295" s="14"/>
      <c r="N295" s="14"/>
      <c r="O295" s="14"/>
      <c r="P295" s="14"/>
      <c r="Q295" s="14"/>
      <c r="R295" s="23"/>
      <c r="S295" s="24"/>
      <c r="T295" s="25"/>
      <c r="U295" s="14"/>
      <c r="V295" s="14"/>
      <c r="W295" s="24"/>
      <c r="X295" s="14"/>
    </row>
    <row r="296">
      <c r="A296" s="14"/>
      <c r="B296" s="22"/>
      <c r="C296" s="14"/>
      <c r="D296" s="14"/>
      <c r="E296" s="14"/>
      <c r="F296" s="14"/>
      <c r="G296" s="14"/>
      <c r="H296" s="14"/>
      <c r="I296" s="14"/>
      <c r="J296" s="14"/>
      <c r="K296" s="14"/>
      <c r="L296" s="14"/>
      <c r="M296" s="14"/>
      <c r="N296" s="14"/>
      <c r="O296" s="14"/>
      <c r="P296" s="14"/>
      <c r="Q296" s="14"/>
      <c r="R296" s="23"/>
      <c r="S296" s="24"/>
      <c r="T296" s="25"/>
      <c r="U296" s="14"/>
      <c r="V296" s="14"/>
      <c r="W296" s="24"/>
      <c r="X296" s="14"/>
    </row>
    <row r="297">
      <c r="A297" s="14"/>
      <c r="B297" s="22"/>
      <c r="C297" s="14"/>
      <c r="D297" s="14"/>
      <c r="E297" s="14"/>
      <c r="F297" s="14"/>
      <c r="G297" s="14"/>
      <c r="H297" s="14"/>
      <c r="I297" s="14"/>
      <c r="J297" s="14"/>
      <c r="K297" s="14"/>
      <c r="L297" s="14"/>
      <c r="M297" s="14"/>
      <c r="N297" s="14"/>
      <c r="O297" s="14"/>
      <c r="P297" s="14"/>
      <c r="Q297" s="14"/>
      <c r="R297" s="23"/>
      <c r="S297" s="24"/>
      <c r="T297" s="25"/>
      <c r="U297" s="14"/>
      <c r="V297" s="14"/>
      <c r="W297" s="24"/>
      <c r="X297" s="14"/>
    </row>
    <row r="298">
      <c r="A298" s="14"/>
      <c r="B298" s="22"/>
      <c r="C298" s="14"/>
      <c r="D298" s="14"/>
      <c r="E298" s="14"/>
      <c r="F298" s="14"/>
      <c r="G298" s="14"/>
      <c r="H298" s="14"/>
      <c r="I298" s="14"/>
      <c r="J298" s="14"/>
      <c r="K298" s="14"/>
      <c r="L298" s="14"/>
      <c r="M298" s="14"/>
      <c r="N298" s="14"/>
      <c r="O298" s="14"/>
      <c r="P298" s="14"/>
      <c r="Q298" s="14"/>
      <c r="R298" s="23"/>
      <c r="S298" s="24"/>
      <c r="T298" s="25"/>
      <c r="U298" s="14"/>
      <c r="V298" s="14"/>
      <c r="W298" s="24"/>
      <c r="X298" s="14"/>
    </row>
    <row r="299">
      <c r="A299" s="14"/>
      <c r="B299" s="22"/>
      <c r="C299" s="14"/>
      <c r="D299" s="14"/>
      <c r="E299" s="14"/>
      <c r="F299" s="14"/>
      <c r="G299" s="14"/>
      <c r="H299" s="14"/>
      <c r="I299" s="14"/>
      <c r="J299" s="14"/>
      <c r="K299" s="14"/>
      <c r="L299" s="14"/>
      <c r="M299" s="14"/>
      <c r="N299" s="14"/>
      <c r="O299" s="14"/>
      <c r="P299" s="14"/>
      <c r="Q299" s="14"/>
      <c r="R299" s="23"/>
      <c r="S299" s="24"/>
      <c r="T299" s="25"/>
      <c r="U299" s="14"/>
      <c r="V299" s="14"/>
      <c r="W299" s="24"/>
      <c r="X299" s="14"/>
    </row>
    <row r="300">
      <c r="A300" s="14"/>
      <c r="B300" s="22"/>
      <c r="C300" s="14"/>
      <c r="D300" s="14"/>
      <c r="E300" s="14"/>
      <c r="F300" s="14"/>
      <c r="G300" s="14"/>
      <c r="H300" s="14"/>
      <c r="I300" s="14"/>
      <c r="J300" s="14"/>
      <c r="K300" s="14"/>
      <c r="L300" s="14"/>
      <c r="M300" s="14"/>
      <c r="N300" s="14"/>
      <c r="O300" s="14"/>
      <c r="P300" s="14"/>
      <c r="Q300" s="14"/>
      <c r="R300" s="23"/>
      <c r="S300" s="24"/>
      <c r="T300" s="25"/>
      <c r="U300" s="14"/>
      <c r="V300" s="14"/>
      <c r="W300" s="24"/>
      <c r="X300" s="14"/>
    </row>
    <row r="301">
      <c r="A301" s="14"/>
      <c r="B301" s="22"/>
      <c r="C301" s="14"/>
      <c r="D301" s="14"/>
      <c r="E301" s="14"/>
      <c r="F301" s="14"/>
      <c r="G301" s="14"/>
      <c r="H301" s="14"/>
      <c r="I301" s="14"/>
      <c r="J301" s="14"/>
      <c r="K301" s="14"/>
      <c r="L301" s="14"/>
      <c r="M301" s="14"/>
      <c r="N301" s="14"/>
      <c r="O301" s="14"/>
      <c r="P301" s="14"/>
      <c r="Q301" s="14"/>
      <c r="R301" s="23"/>
      <c r="S301" s="24"/>
      <c r="T301" s="25"/>
      <c r="U301" s="14"/>
      <c r="V301" s="14"/>
      <c r="W301" s="24"/>
      <c r="X301" s="14"/>
    </row>
    <row r="302">
      <c r="A302" s="14"/>
      <c r="B302" s="22"/>
      <c r="C302" s="14"/>
      <c r="D302" s="14"/>
      <c r="E302" s="14"/>
      <c r="F302" s="14"/>
      <c r="G302" s="14"/>
      <c r="H302" s="14"/>
      <c r="I302" s="14"/>
      <c r="J302" s="14"/>
      <c r="K302" s="14"/>
      <c r="L302" s="14"/>
      <c r="M302" s="14"/>
      <c r="N302" s="14"/>
      <c r="O302" s="14"/>
      <c r="P302" s="14"/>
      <c r="Q302" s="14"/>
      <c r="R302" s="23"/>
      <c r="S302" s="24"/>
      <c r="T302" s="25"/>
      <c r="U302" s="14"/>
      <c r="V302" s="14"/>
      <c r="W302" s="24"/>
      <c r="X302" s="14"/>
    </row>
    <row r="303">
      <c r="A303" s="14"/>
      <c r="B303" s="22"/>
      <c r="C303" s="14"/>
      <c r="D303" s="14"/>
      <c r="E303" s="14"/>
      <c r="F303" s="14"/>
      <c r="G303" s="14"/>
      <c r="H303" s="14"/>
      <c r="I303" s="14"/>
      <c r="J303" s="14"/>
      <c r="K303" s="14"/>
      <c r="L303" s="14"/>
      <c r="M303" s="14"/>
      <c r="N303" s="14"/>
      <c r="O303" s="14"/>
      <c r="P303" s="14"/>
      <c r="Q303" s="14"/>
      <c r="R303" s="23"/>
      <c r="S303" s="24"/>
      <c r="T303" s="25"/>
      <c r="U303" s="14"/>
      <c r="V303" s="14"/>
      <c r="W303" s="24"/>
      <c r="X303" s="14"/>
    </row>
    <row r="304">
      <c r="A304" s="14"/>
      <c r="B304" s="22"/>
      <c r="C304" s="14"/>
      <c r="D304" s="14"/>
      <c r="E304" s="14"/>
      <c r="F304" s="14"/>
      <c r="G304" s="14"/>
      <c r="H304" s="14"/>
      <c r="I304" s="14"/>
      <c r="J304" s="14"/>
      <c r="K304" s="14"/>
      <c r="L304" s="14"/>
      <c r="M304" s="14"/>
      <c r="N304" s="14"/>
      <c r="O304" s="14"/>
      <c r="P304" s="14"/>
      <c r="Q304" s="14"/>
      <c r="R304" s="23"/>
      <c r="S304" s="24"/>
      <c r="T304" s="25"/>
      <c r="U304" s="14"/>
      <c r="V304" s="14"/>
      <c r="W304" s="24"/>
      <c r="X304" s="14"/>
    </row>
    <row r="305">
      <c r="A305" s="14"/>
      <c r="B305" s="22"/>
      <c r="C305" s="14"/>
      <c r="D305" s="14"/>
      <c r="E305" s="14"/>
      <c r="F305" s="14"/>
      <c r="G305" s="14"/>
      <c r="H305" s="14"/>
      <c r="I305" s="14"/>
      <c r="J305" s="14"/>
      <c r="K305" s="14"/>
      <c r="L305" s="14"/>
      <c r="M305" s="14"/>
      <c r="N305" s="14"/>
      <c r="O305" s="14"/>
      <c r="P305" s="14"/>
      <c r="Q305" s="14"/>
      <c r="R305" s="23"/>
      <c r="S305" s="24"/>
      <c r="T305" s="25"/>
      <c r="U305" s="14"/>
      <c r="V305" s="14"/>
      <c r="W305" s="24"/>
      <c r="X305" s="14"/>
    </row>
    <row r="306">
      <c r="A306" s="14"/>
      <c r="B306" s="22"/>
      <c r="C306" s="14"/>
      <c r="D306" s="14"/>
      <c r="E306" s="14"/>
      <c r="F306" s="14"/>
      <c r="G306" s="14"/>
      <c r="H306" s="14"/>
      <c r="I306" s="14"/>
      <c r="J306" s="14"/>
      <c r="K306" s="14"/>
      <c r="L306" s="14"/>
      <c r="M306" s="14"/>
      <c r="N306" s="14"/>
      <c r="O306" s="14"/>
      <c r="P306" s="14"/>
      <c r="Q306" s="14"/>
      <c r="R306" s="23"/>
      <c r="S306" s="24"/>
      <c r="T306" s="25"/>
      <c r="U306" s="14"/>
      <c r="V306" s="14"/>
      <c r="W306" s="24"/>
      <c r="X306" s="14"/>
    </row>
    <row r="307">
      <c r="A307" s="14"/>
      <c r="B307" s="22"/>
      <c r="C307" s="14"/>
      <c r="D307" s="14"/>
      <c r="E307" s="14"/>
      <c r="F307" s="14"/>
      <c r="G307" s="14"/>
      <c r="H307" s="14"/>
      <c r="I307" s="14"/>
      <c r="J307" s="14"/>
      <c r="K307" s="14"/>
      <c r="L307" s="14"/>
      <c r="M307" s="14"/>
      <c r="N307" s="14"/>
      <c r="O307" s="14"/>
      <c r="P307" s="14"/>
      <c r="Q307" s="14"/>
      <c r="R307" s="23"/>
      <c r="S307" s="24"/>
      <c r="T307" s="25"/>
      <c r="U307" s="14"/>
      <c r="V307" s="14"/>
      <c r="W307" s="24"/>
      <c r="X307" s="14"/>
    </row>
    <row r="308">
      <c r="A308" s="14"/>
      <c r="B308" s="22"/>
      <c r="C308" s="14"/>
      <c r="D308" s="14"/>
      <c r="E308" s="14"/>
      <c r="F308" s="14"/>
      <c r="G308" s="14"/>
      <c r="H308" s="14"/>
      <c r="I308" s="14"/>
      <c r="J308" s="14"/>
      <c r="K308" s="14"/>
      <c r="L308" s="14"/>
      <c r="M308" s="14"/>
      <c r="N308" s="14"/>
      <c r="O308" s="14"/>
      <c r="P308" s="14"/>
      <c r="Q308" s="14"/>
      <c r="R308" s="23"/>
      <c r="S308" s="24"/>
      <c r="T308" s="25"/>
      <c r="U308" s="14"/>
      <c r="V308" s="14"/>
      <c r="W308" s="24"/>
      <c r="X308" s="14"/>
    </row>
    <row r="309">
      <c r="A309" s="14"/>
      <c r="B309" s="22"/>
      <c r="C309" s="14"/>
      <c r="D309" s="14"/>
      <c r="E309" s="14"/>
      <c r="F309" s="14"/>
      <c r="G309" s="14"/>
      <c r="H309" s="14"/>
      <c r="I309" s="14"/>
      <c r="J309" s="14"/>
      <c r="K309" s="14"/>
      <c r="L309" s="14"/>
      <c r="M309" s="14"/>
      <c r="N309" s="14"/>
      <c r="O309" s="14"/>
      <c r="P309" s="14"/>
      <c r="Q309" s="14"/>
      <c r="R309" s="23"/>
      <c r="S309" s="24"/>
      <c r="T309" s="25"/>
      <c r="U309" s="14"/>
      <c r="V309" s="14"/>
      <c r="W309" s="24"/>
      <c r="X309" s="14"/>
    </row>
    <row r="310">
      <c r="A310" s="14"/>
      <c r="B310" s="22"/>
      <c r="C310" s="14"/>
      <c r="D310" s="14"/>
      <c r="E310" s="14"/>
      <c r="F310" s="14"/>
      <c r="G310" s="14"/>
      <c r="H310" s="14"/>
      <c r="I310" s="14"/>
      <c r="J310" s="14"/>
      <c r="K310" s="14"/>
      <c r="L310" s="14"/>
      <c r="M310" s="14"/>
      <c r="N310" s="14"/>
      <c r="O310" s="14"/>
      <c r="P310" s="14"/>
      <c r="Q310" s="14"/>
      <c r="R310" s="23"/>
      <c r="S310" s="24"/>
      <c r="T310" s="25"/>
      <c r="U310" s="14"/>
      <c r="V310" s="14"/>
      <c r="W310" s="24"/>
      <c r="X310" s="14"/>
    </row>
    <row r="311">
      <c r="A311" s="14"/>
      <c r="B311" s="22"/>
      <c r="C311" s="14"/>
      <c r="D311" s="14"/>
      <c r="E311" s="14"/>
      <c r="F311" s="14"/>
      <c r="G311" s="14"/>
      <c r="H311" s="14"/>
      <c r="I311" s="14"/>
      <c r="J311" s="14"/>
      <c r="K311" s="14"/>
      <c r="L311" s="14"/>
      <c r="M311" s="14"/>
      <c r="N311" s="14"/>
      <c r="O311" s="14"/>
      <c r="P311" s="14"/>
      <c r="Q311" s="14"/>
      <c r="R311" s="23"/>
      <c r="S311" s="24"/>
      <c r="T311" s="25"/>
      <c r="U311" s="14"/>
      <c r="V311" s="14"/>
      <c r="W311" s="24"/>
      <c r="X311" s="14"/>
    </row>
    <row r="312">
      <c r="A312" s="14"/>
      <c r="B312" s="22"/>
      <c r="C312" s="14"/>
      <c r="D312" s="14"/>
      <c r="E312" s="14"/>
      <c r="F312" s="14"/>
      <c r="G312" s="14"/>
      <c r="H312" s="14"/>
      <c r="I312" s="14"/>
      <c r="J312" s="14"/>
      <c r="K312" s="14"/>
      <c r="L312" s="14"/>
      <c r="M312" s="14"/>
      <c r="N312" s="14"/>
      <c r="O312" s="14"/>
      <c r="P312" s="14"/>
      <c r="Q312" s="14"/>
      <c r="R312" s="23"/>
      <c r="S312" s="24"/>
      <c r="T312" s="25"/>
      <c r="U312" s="14"/>
      <c r="V312" s="14"/>
      <c r="W312" s="24"/>
      <c r="X312" s="14"/>
    </row>
    <row r="313">
      <c r="A313" s="14"/>
      <c r="B313" s="22"/>
      <c r="C313" s="14"/>
      <c r="D313" s="14"/>
      <c r="E313" s="14"/>
      <c r="F313" s="14"/>
      <c r="G313" s="14"/>
      <c r="H313" s="14"/>
      <c r="I313" s="14"/>
      <c r="J313" s="14"/>
      <c r="K313" s="14"/>
      <c r="L313" s="14"/>
      <c r="M313" s="14"/>
      <c r="N313" s="14"/>
      <c r="O313" s="14"/>
      <c r="P313" s="14"/>
      <c r="Q313" s="14"/>
      <c r="R313" s="23"/>
      <c r="S313" s="24"/>
      <c r="T313" s="25"/>
      <c r="U313" s="14"/>
      <c r="V313" s="14"/>
      <c r="W313" s="24"/>
      <c r="X313" s="14"/>
    </row>
    <row r="314">
      <c r="A314" s="14"/>
      <c r="B314" s="22"/>
      <c r="C314" s="14"/>
      <c r="D314" s="14"/>
      <c r="E314" s="14"/>
      <c r="F314" s="14"/>
      <c r="G314" s="14"/>
      <c r="H314" s="14"/>
      <c r="I314" s="14"/>
      <c r="J314" s="14"/>
      <c r="K314" s="14"/>
      <c r="L314" s="14"/>
      <c r="M314" s="14"/>
      <c r="N314" s="14"/>
      <c r="O314" s="14"/>
      <c r="P314" s="14"/>
      <c r="Q314" s="14"/>
      <c r="R314" s="23"/>
      <c r="S314" s="24"/>
      <c r="T314" s="25"/>
      <c r="U314" s="14"/>
      <c r="V314" s="14"/>
      <c r="W314" s="24"/>
      <c r="X314" s="14"/>
    </row>
    <row r="315">
      <c r="A315" s="14"/>
      <c r="B315" s="22"/>
      <c r="C315" s="14"/>
      <c r="D315" s="14"/>
      <c r="E315" s="14"/>
      <c r="F315" s="14"/>
      <c r="G315" s="14"/>
      <c r="H315" s="14"/>
      <c r="I315" s="14"/>
      <c r="J315" s="14"/>
      <c r="K315" s="14"/>
      <c r="L315" s="14"/>
      <c r="M315" s="14"/>
      <c r="N315" s="14"/>
      <c r="O315" s="14"/>
      <c r="P315" s="14"/>
      <c r="Q315" s="14"/>
      <c r="R315" s="23"/>
      <c r="S315" s="24"/>
      <c r="T315" s="25"/>
      <c r="U315" s="14"/>
      <c r="V315" s="14"/>
      <c r="W315" s="24"/>
      <c r="X315" s="14"/>
    </row>
    <row r="316">
      <c r="A316" s="14"/>
      <c r="B316" s="22"/>
      <c r="C316" s="14"/>
      <c r="D316" s="14"/>
      <c r="E316" s="14"/>
      <c r="F316" s="14"/>
      <c r="G316" s="14"/>
      <c r="H316" s="14"/>
      <c r="I316" s="14"/>
      <c r="J316" s="14"/>
      <c r="K316" s="14"/>
      <c r="L316" s="14"/>
      <c r="M316" s="14"/>
      <c r="N316" s="14"/>
      <c r="O316" s="14"/>
      <c r="P316" s="14"/>
      <c r="Q316" s="14"/>
      <c r="R316" s="23"/>
      <c r="S316" s="24"/>
      <c r="T316" s="25"/>
      <c r="U316" s="14"/>
      <c r="V316" s="14"/>
      <c r="W316" s="24"/>
      <c r="X316" s="14"/>
    </row>
    <row r="317">
      <c r="A317" s="14"/>
      <c r="B317" s="22"/>
      <c r="C317" s="14"/>
      <c r="D317" s="14"/>
      <c r="E317" s="14"/>
      <c r="F317" s="14"/>
      <c r="G317" s="14"/>
      <c r="H317" s="14"/>
      <c r="I317" s="14"/>
      <c r="J317" s="14"/>
      <c r="K317" s="14"/>
      <c r="L317" s="14"/>
      <c r="M317" s="14"/>
      <c r="N317" s="14"/>
      <c r="O317" s="14"/>
      <c r="P317" s="14"/>
      <c r="Q317" s="14"/>
      <c r="R317" s="23"/>
      <c r="S317" s="24"/>
      <c r="T317" s="25"/>
      <c r="U317" s="14"/>
      <c r="V317" s="14"/>
      <c r="W317" s="24"/>
      <c r="X317" s="14"/>
    </row>
    <row r="318">
      <c r="A318" s="14"/>
      <c r="B318" s="22"/>
      <c r="C318" s="14"/>
      <c r="D318" s="14"/>
      <c r="E318" s="14"/>
      <c r="F318" s="14"/>
      <c r="G318" s="14"/>
      <c r="H318" s="14"/>
      <c r="I318" s="14"/>
      <c r="J318" s="14"/>
      <c r="K318" s="14"/>
      <c r="L318" s="14"/>
      <c r="M318" s="14"/>
      <c r="N318" s="14"/>
      <c r="O318" s="14"/>
      <c r="P318" s="14"/>
      <c r="Q318" s="14"/>
      <c r="R318" s="23"/>
      <c r="S318" s="24"/>
      <c r="T318" s="25"/>
      <c r="U318" s="14"/>
      <c r="V318" s="14"/>
      <c r="W318" s="24"/>
      <c r="X318" s="14"/>
    </row>
    <row r="319">
      <c r="A319" s="14"/>
      <c r="B319" s="22"/>
      <c r="C319" s="14"/>
      <c r="D319" s="14"/>
      <c r="E319" s="14"/>
      <c r="F319" s="14"/>
      <c r="G319" s="14"/>
      <c r="H319" s="14"/>
      <c r="I319" s="14"/>
      <c r="J319" s="14"/>
      <c r="K319" s="14"/>
      <c r="L319" s="14"/>
      <c r="M319" s="14"/>
      <c r="N319" s="14"/>
      <c r="O319" s="14"/>
      <c r="P319" s="14"/>
      <c r="Q319" s="14"/>
      <c r="R319" s="23"/>
      <c r="S319" s="24"/>
      <c r="T319" s="25"/>
      <c r="U319" s="14"/>
      <c r="V319" s="14"/>
      <c r="W319" s="24"/>
      <c r="X319" s="14"/>
    </row>
    <row r="320">
      <c r="A320" s="14"/>
      <c r="B320" s="22"/>
      <c r="C320" s="14"/>
      <c r="D320" s="14"/>
      <c r="E320" s="14"/>
      <c r="F320" s="14"/>
      <c r="G320" s="14"/>
      <c r="H320" s="14"/>
      <c r="I320" s="14"/>
      <c r="J320" s="14"/>
      <c r="K320" s="14"/>
      <c r="L320" s="14"/>
      <c r="M320" s="14"/>
      <c r="N320" s="14"/>
      <c r="O320" s="14"/>
      <c r="P320" s="14"/>
      <c r="Q320" s="14"/>
      <c r="R320" s="23"/>
      <c r="S320" s="24"/>
      <c r="T320" s="25"/>
      <c r="U320" s="14"/>
      <c r="V320" s="14"/>
      <c r="W320" s="24"/>
      <c r="X320" s="14"/>
    </row>
    <row r="321">
      <c r="A321" s="14"/>
      <c r="B321" s="22"/>
      <c r="C321" s="14"/>
      <c r="D321" s="14"/>
      <c r="E321" s="14"/>
      <c r="F321" s="14"/>
      <c r="G321" s="14"/>
      <c r="H321" s="14"/>
      <c r="I321" s="14"/>
      <c r="J321" s="14"/>
      <c r="K321" s="14"/>
      <c r="L321" s="14"/>
      <c r="M321" s="14"/>
      <c r="N321" s="14"/>
      <c r="O321" s="14"/>
      <c r="P321" s="14"/>
      <c r="Q321" s="14"/>
      <c r="R321" s="23"/>
      <c r="S321" s="24"/>
      <c r="T321" s="25"/>
      <c r="U321" s="14"/>
      <c r="V321" s="14"/>
      <c r="W321" s="24"/>
      <c r="X321" s="14"/>
    </row>
    <row r="322">
      <c r="A322" s="14"/>
      <c r="B322" s="22"/>
      <c r="C322" s="14"/>
      <c r="D322" s="14"/>
      <c r="E322" s="14"/>
      <c r="F322" s="14"/>
      <c r="G322" s="14"/>
      <c r="H322" s="14"/>
      <c r="I322" s="14"/>
      <c r="J322" s="14"/>
      <c r="K322" s="14"/>
      <c r="L322" s="14"/>
      <c r="M322" s="14"/>
      <c r="N322" s="14"/>
      <c r="O322" s="14"/>
      <c r="P322" s="14"/>
      <c r="Q322" s="14"/>
      <c r="R322" s="23"/>
      <c r="S322" s="24"/>
      <c r="T322" s="25"/>
      <c r="U322" s="14"/>
      <c r="V322" s="14"/>
      <c r="W322" s="24"/>
      <c r="X322" s="14"/>
    </row>
    <row r="323">
      <c r="A323" s="14"/>
      <c r="B323" s="22"/>
      <c r="C323" s="14"/>
      <c r="D323" s="14"/>
      <c r="E323" s="14"/>
      <c r="F323" s="14"/>
      <c r="G323" s="14"/>
      <c r="H323" s="14"/>
      <c r="I323" s="14"/>
      <c r="J323" s="14"/>
      <c r="K323" s="14"/>
      <c r="L323" s="14"/>
      <c r="M323" s="14"/>
      <c r="N323" s="14"/>
      <c r="O323" s="14"/>
      <c r="P323" s="14"/>
      <c r="Q323" s="14"/>
      <c r="R323" s="23"/>
      <c r="S323" s="24"/>
      <c r="T323" s="25"/>
      <c r="U323" s="14"/>
      <c r="V323" s="14"/>
      <c r="W323" s="24"/>
      <c r="X323" s="14"/>
    </row>
    <row r="324">
      <c r="A324" s="14"/>
      <c r="B324" s="22"/>
      <c r="C324" s="14"/>
      <c r="D324" s="14"/>
      <c r="E324" s="14"/>
      <c r="F324" s="14"/>
      <c r="G324" s="14"/>
      <c r="H324" s="14"/>
      <c r="I324" s="14"/>
      <c r="J324" s="14"/>
      <c r="K324" s="14"/>
      <c r="L324" s="14"/>
      <c r="M324" s="14"/>
      <c r="N324" s="14"/>
      <c r="O324" s="14"/>
      <c r="P324" s="14"/>
      <c r="Q324" s="14"/>
      <c r="R324" s="23"/>
      <c r="S324" s="24"/>
      <c r="T324" s="25"/>
      <c r="U324" s="14"/>
      <c r="V324" s="14"/>
      <c r="W324" s="24"/>
      <c r="X324" s="14"/>
    </row>
    <row r="325">
      <c r="A325" s="14"/>
      <c r="B325" s="22"/>
      <c r="C325" s="14"/>
      <c r="D325" s="14"/>
      <c r="E325" s="14"/>
      <c r="F325" s="14"/>
      <c r="G325" s="14"/>
      <c r="H325" s="14"/>
      <c r="I325" s="14"/>
      <c r="J325" s="14"/>
      <c r="K325" s="14"/>
      <c r="L325" s="14"/>
      <c r="M325" s="14"/>
      <c r="N325" s="14"/>
      <c r="O325" s="14"/>
      <c r="P325" s="14"/>
      <c r="Q325" s="14"/>
      <c r="R325" s="23"/>
      <c r="S325" s="24"/>
      <c r="T325" s="25"/>
      <c r="U325" s="14"/>
      <c r="V325" s="14"/>
      <c r="W325" s="24"/>
      <c r="X325" s="14"/>
    </row>
    <row r="326">
      <c r="A326" s="14"/>
      <c r="B326" s="22"/>
      <c r="C326" s="14"/>
      <c r="D326" s="14"/>
      <c r="E326" s="14"/>
      <c r="F326" s="14"/>
      <c r="G326" s="14"/>
      <c r="H326" s="14"/>
      <c r="I326" s="14"/>
      <c r="J326" s="14"/>
      <c r="K326" s="14"/>
      <c r="L326" s="14"/>
      <c r="M326" s="14"/>
      <c r="N326" s="14"/>
      <c r="O326" s="14"/>
      <c r="P326" s="14"/>
      <c r="Q326" s="14"/>
      <c r="R326" s="23"/>
      <c r="S326" s="24"/>
      <c r="T326" s="25"/>
      <c r="U326" s="14"/>
      <c r="V326" s="14"/>
      <c r="W326" s="24"/>
      <c r="X326" s="14"/>
    </row>
    <row r="327">
      <c r="A327" s="14"/>
      <c r="B327" s="22"/>
      <c r="C327" s="14"/>
      <c r="D327" s="14"/>
      <c r="E327" s="14"/>
      <c r="F327" s="14"/>
      <c r="G327" s="14"/>
      <c r="H327" s="14"/>
      <c r="I327" s="14"/>
      <c r="J327" s="14"/>
      <c r="K327" s="14"/>
      <c r="L327" s="14"/>
      <c r="M327" s="14"/>
      <c r="N327" s="14"/>
      <c r="O327" s="14"/>
      <c r="P327" s="14"/>
      <c r="Q327" s="14"/>
      <c r="R327" s="23"/>
      <c r="S327" s="24"/>
      <c r="T327" s="25"/>
      <c r="U327" s="14"/>
      <c r="V327" s="14"/>
      <c r="W327" s="24"/>
      <c r="X327" s="14"/>
    </row>
    <row r="328">
      <c r="A328" s="14"/>
      <c r="B328" s="22"/>
      <c r="C328" s="14"/>
      <c r="D328" s="14"/>
      <c r="E328" s="14"/>
      <c r="F328" s="14"/>
      <c r="G328" s="14"/>
      <c r="H328" s="14"/>
      <c r="I328" s="14"/>
      <c r="J328" s="14"/>
      <c r="K328" s="14"/>
      <c r="L328" s="14"/>
      <c r="M328" s="14"/>
      <c r="N328" s="14"/>
      <c r="O328" s="14"/>
      <c r="P328" s="14"/>
      <c r="Q328" s="14"/>
      <c r="R328" s="23"/>
      <c r="S328" s="24"/>
      <c r="T328" s="25"/>
      <c r="U328" s="14"/>
      <c r="V328" s="14"/>
      <c r="W328" s="24"/>
      <c r="X328" s="14"/>
    </row>
    <row r="329">
      <c r="A329" s="14"/>
      <c r="B329" s="22"/>
      <c r="C329" s="14"/>
      <c r="D329" s="14"/>
      <c r="E329" s="14"/>
      <c r="F329" s="14"/>
      <c r="G329" s="14"/>
      <c r="H329" s="14"/>
      <c r="I329" s="14"/>
      <c r="J329" s="14"/>
      <c r="K329" s="14"/>
      <c r="L329" s="14"/>
      <c r="M329" s="14"/>
      <c r="N329" s="14"/>
      <c r="O329" s="14"/>
      <c r="P329" s="14"/>
      <c r="Q329" s="14"/>
      <c r="R329" s="23"/>
      <c r="S329" s="24"/>
      <c r="T329" s="25"/>
      <c r="U329" s="14"/>
      <c r="V329" s="14"/>
      <c r="W329" s="24"/>
      <c r="X329" s="14"/>
    </row>
    <row r="330">
      <c r="A330" s="14"/>
      <c r="B330" s="22"/>
      <c r="C330" s="14"/>
      <c r="D330" s="14"/>
      <c r="E330" s="14"/>
      <c r="F330" s="14"/>
      <c r="G330" s="14"/>
      <c r="H330" s="14"/>
      <c r="I330" s="14"/>
      <c r="J330" s="14"/>
      <c r="K330" s="14"/>
      <c r="L330" s="14"/>
      <c r="M330" s="14"/>
      <c r="N330" s="14"/>
      <c r="O330" s="14"/>
      <c r="P330" s="14"/>
      <c r="Q330" s="14"/>
      <c r="R330" s="23"/>
      <c r="S330" s="24"/>
      <c r="T330" s="25"/>
      <c r="U330" s="14"/>
      <c r="V330" s="14"/>
      <c r="W330" s="24"/>
      <c r="X330" s="14"/>
    </row>
    <row r="331">
      <c r="A331" s="14"/>
      <c r="B331" s="22"/>
      <c r="C331" s="14"/>
      <c r="D331" s="14"/>
      <c r="E331" s="14"/>
      <c r="F331" s="14"/>
      <c r="G331" s="14"/>
      <c r="H331" s="14"/>
      <c r="I331" s="14"/>
      <c r="J331" s="14"/>
      <c r="K331" s="14"/>
      <c r="L331" s="14"/>
      <c r="M331" s="14"/>
      <c r="N331" s="14"/>
      <c r="O331" s="14"/>
      <c r="P331" s="14"/>
      <c r="Q331" s="14"/>
      <c r="R331" s="23"/>
      <c r="S331" s="24"/>
      <c r="T331" s="25"/>
      <c r="U331" s="14"/>
      <c r="V331" s="14"/>
      <c r="W331" s="24"/>
      <c r="X331" s="14"/>
    </row>
    <row r="332">
      <c r="A332" s="14"/>
      <c r="B332" s="22"/>
      <c r="C332" s="14"/>
      <c r="D332" s="14"/>
      <c r="E332" s="14"/>
      <c r="F332" s="14"/>
      <c r="G332" s="14"/>
      <c r="H332" s="14"/>
      <c r="I332" s="14"/>
      <c r="J332" s="14"/>
      <c r="K332" s="14"/>
      <c r="L332" s="14"/>
      <c r="M332" s="14"/>
      <c r="N332" s="14"/>
      <c r="O332" s="14"/>
      <c r="P332" s="14"/>
      <c r="Q332" s="14"/>
      <c r="R332" s="23"/>
      <c r="S332" s="24"/>
      <c r="T332" s="25"/>
      <c r="U332" s="14"/>
      <c r="V332" s="14"/>
      <c r="W332" s="24"/>
      <c r="X332" s="14"/>
    </row>
    <row r="333">
      <c r="A333" s="14"/>
      <c r="B333" s="22"/>
      <c r="C333" s="14"/>
      <c r="D333" s="14"/>
      <c r="E333" s="14"/>
      <c r="F333" s="14"/>
      <c r="G333" s="14"/>
      <c r="H333" s="14"/>
      <c r="I333" s="14"/>
      <c r="J333" s="14"/>
      <c r="K333" s="14"/>
      <c r="L333" s="14"/>
      <c r="M333" s="14"/>
      <c r="N333" s="14"/>
      <c r="O333" s="14"/>
      <c r="P333" s="14"/>
      <c r="Q333" s="14"/>
      <c r="R333" s="23"/>
      <c r="S333" s="24"/>
      <c r="T333" s="25"/>
      <c r="U333" s="14"/>
      <c r="V333" s="14"/>
      <c r="W333" s="24"/>
      <c r="X333" s="14"/>
    </row>
    <row r="334">
      <c r="A334" s="14"/>
      <c r="B334" s="22"/>
      <c r="C334" s="14"/>
      <c r="D334" s="14"/>
      <c r="E334" s="14"/>
      <c r="F334" s="14"/>
      <c r="G334" s="14"/>
      <c r="H334" s="14"/>
      <c r="I334" s="14"/>
      <c r="J334" s="14"/>
      <c r="K334" s="14"/>
      <c r="L334" s="14"/>
      <c r="M334" s="14"/>
      <c r="N334" s="14"/>
      <c r="O334" s="14"/>
      <c r="P334" s="14"/>
      <c r="Q334" s="14"/>
      <c r="R334" s="23"/>
      <c r="S334" s="24"/>
      <c r="T334" s="25"/>
      <c r="U334" s="14"/>
      <c r="V334" s="14"/>
      <c r="W334" s="24"/>
      <c r="X334" s="14"/>
    </row>
    <row r="335">
      <c r="A335" s="14"/>
      <c r="B335" s="22"/>
      <c r="C335" s="14"/>
      <c r="D335" s="14"/>
      <c r="E335" s="14"/>
      <c r="F335" s="14"/>
      <c r="G335" s="14"/>
      <c r="H335" s="14"/>
      <c r="I335" s="14"/>
      <c r="J335" s="14"/>
      <c r="K335" s="14"/>
      <c r="L335" s="14"/>
      <c r="M335" s="14"/>
      <c r="N335" s="14"/>
      <c r="O335" s="14"/>
      <c r="P335" s="14"/>
      <c r="Q335" s="14"/>
      <c r="R335" s="23"/>
      <c r="S335" s="24"/>
      <c r="T335" s="25"/>
      <c r="U335" s="14"/>
      <c r="V335" s="14"/>
      <c r="W335" s="24"/>
      <c r="X335" s="14"/>
    </row>
    <row r="336">
      <c r="A336" s="14"/>
      <c r="B336" s="22"/>
      <c r="C336" s="14"/>
      <c r="D336" s="14"/>
      <c r="E336" s="14"/>
      <c r="F336" s="14"/>
      <c r="G336" s="14"/>
      <c r="H336" s="14"/>
      <c r="I336" s="14"/>
      <c r="J336" s="14"/>
      <c r="K336" s="14"/>
      <c r="L336" s="14"/>
      <c r="M336" s="14"/>
      <c r="N336" s="14"/>
      <c r="O336" s="14"/>
      <c r="P336" s="14"/>
      <c r="Q336" s="14"/>
      <c r="R336" s="23"/>
      <c r="S336" s="24"/>
      <c r="T336" s="25"/>
      <c r="U336" s="14"/>
      <c r="V336" s="14"/>
      <c r="W336" s="24"/>
      <c r="X336" s="14"/>
    </row>
    <row r="337">
      <c r="A337" s="14"/>
      <c r="B337" s="22"/>
      <c r="C337" s="14"/>
      <c r="D337" s="14"/>
      <c r="E337" s="14"/>
      <c r="F337" s="14"/>
      <c r="G337" s="14"/>
      <c r="H337" s="14"/>
      <c r="I337" s="14"/>
      <c r="J337" s="14"/>
      <c r="K337" s="14"/>
      <c r="L337" s="14"/>
      <c r="M337" s="14"/>
      <c r="N337" s="14"/>
      <c r="O337" s="14"/>
      <c r="P337" s="14"/>
      <c r="Q337" s="14"/>
      <c r="R337" s="23"/>
      <c r="S337" s="24"/>
      <c r="T337" s="25"/>
      <c r="U337" s="14"/>
      <c r="V337" s="14"/>
      <c r="W337" s="24"/>
      <c r="X337" s="14"/>
    </row>
    <row r="338">
      <c r="A338" s="14"/>
      <c r="B338" s="22"/>
      <c r="C338" s="14"/>
      <c r="D338" s="14"/>
      <c r="E338" s="14"/>
      <c r="F338" s="14"/>
      <c r="G338" s="14"/>
      <c r="H338" s="14"/>
      <c r="I338" s="14"/>
      <c r="J338" s="14"/>
      <c r="K338" s="14"/>
      <c r="L338" s="14"/>
      <c r="M338" s="14"/>
      <c r="N338" s="14"/>
      <c r="O338" s="14"/>
      <c r="P338" s="14"/>
      <c r="Q338" s="14"/>
      <c r="R338" s="23"/>
      <c r="S338" s="24"/>
      <c r="T338" s="25"/>
      <c r="U338" s="14"/>
      <c r="V338" s="14"/>
      <c r="W338" s="24"/>
      <c r="X338" s="14"/>
    </row>
    <row r="339">
      <c r="A339" s="14"/>
      <c r="B339" s="22"/>
      <c r="C339" s="14"/>
      <c r="D339" s="14"/>
      <c r="E339" s="14"/>
      <c r="F339" s="14"/>
      <c r="G339" s="14"/>
      <c r="H339" s="14"/>
      <c r="I339" s="14"/>
      <c r="J339" s="14"/>
      <c r="K339" s="14"/>
      <c r="L339" s="14"/>
      <c r="M339" s="14"/>
      <c r="N339" s="14"/>
      <c r="O339" s="14"/>
      <c r="P339" s="14"/>
      <c r="Q339" s="14"/>
      <c r="R339" s="23"/>
      <c r="S339" s="24"/>
      <c r="T339" s="25"/>
      <c r="U339" s="14"/>
      <c r="V339" s="14"/>
      <c r="W339" s="24"/>
      <c r="X339" s="14"/>
    </row>
    <row r="340">
      <c r="A340" s="14"/>
      <c r="B340" s="22"/>
      <c r="C340" s="14"/>
      <c r="D340" s="14"/>
      <c r="E340" s="14"/>
      <c r="F340" s="14"/>
      <c r="G340" s="14"/>
      <c r="H340" s="14"/>
      <c r="I340" s="14"/>
      <c r="J340" s="14"/>
      <c r="K340" s="14"/>
      <c r="L340" s="14"/>
      <c r="M340" s="14"/>
      <c r="N340" s="14"/>
      <c r="O340" s="14"/>
      <c r="P340" s="14"/>
      <c r="Q340" s="14"/>
      <c r="R340" s="23"/>
      <c r="S340" s="24"/>
      <c r="T340" s="25"/>
      <c r="U340" s="14"/>
      <c r="V340" s="14"/>
      <c r="W340" s="24"/>
      <c r="X340" s="14"/>
    </row>
    <row r="341">
      <c r="A341" s="14"/>
      <c r="B341" s="22"/>
      <c r="C341" s="14"/>
      <c r="D341" s="14"/>
      <c r="E341" s="14"/>
      <c r="F341" s="14"/>
      <c r="G341" s="14"/>
      <c r="H341" s="14"/>
      <c r="I341" s="14"/>
      <c r="J341" s="14"/>
      <c r="K341" s="14"/>
      <c r="L341" s="14"/>
      <c r="M341" s="14"/>
      <c r="N341" s="14"/>
      <c r="O341" s="14"/>
      <c r="P341" s="14"/>
      <c r="Q341" s="14"/>
      <c r="R341" s="23"/>
      <c r="S341" s="24"/>
      <c r="T341" s="25"/>
      <c r="U341" s="14"/>
      <c r="V341" s="14"/>
      <c r="W341" s="24"/>
      <c r="X341" s="14"/>
    </row>
    <row r="342">
      <c r="A342" s="14"/>
      <c r="B342" s="22"/>
      <c r="C342" s="14"/>
      <c r="D342" s="14"/>
      <c r="E342" s="14"/>
      <c r="F342" s="14"/>
      <c r="G342" s="14"/>
      <c r="H342" s="14"/>
      <c r="I342" s="14"/>
      <c r="J342" s="14"/>
      <c r="K342" s="14"/>
      <c r="L342" s="14"/>
      <c r="M342" s="14"/>
      <c r="N342" s="14"/>
      <c r="O342" s="14"/>
      <c r="P342" s="14"/>
      <c r="Q342" s="14"/>
      <c r="R342" s="23"/>
      <c r="S342" s="24"/>
      <c r="T342" s="25"/>
      <c r="U342" s="14"/>
      <c r="V342" s="14"/>
      <c r="W342" s="24"/>
      <c r="X342" s="14"/>
    </row>
    <row r="343">
      <c r="A343" s="14"/>
      <c r="B343" s="22"/>
      <c r="C343" s="14"/>
      <c r="D343" s="14"/>
      <c r="E343" s="14"/>
      <c r="F343" s="14"/>
      <c r="G343" s="14"/>
      <c r="H343" s="14"/>
      <c r="I343" s="14"/>
      <c r="J343" s="14"/>
      <c r="K343" s="14"/>
      <c r="L343" s="14"/>
      <c r="M343" s="14"/>
      <c r="N343" s="14"/>
      <c r="O343" s="14"/>
      <c r="P343" s="14"/>
      <c r="Q343" s="14"/>
      <c r="R343" s="23"/>
      <c r="S343" s="24"/>
      <c r="T343" s="25"/>
      <c r="U343" s="14"/>
      <c r="V343" s="14"/>
      <c r="W343" s="24"/>
      <c r="X343" s="14"/>
    </row>
    <row r="344">
      <c r="A344" s="14"/>
      <c r="B344" s="22"/>
      <c r="C344" s="14"/>
      <c r="D344" s="14"/>
      <c r="E344" s="14"/>
      <c r="F344" s="14"/>
      <c r="G344" s="14"/>
      <c r="H344" s="14"/>
      <c r="I344" s="14"/>
      <c r="J344" s="14"/>
      <c r="K344" s="14"/>
      <c r="L344" s="14"/>
      <c r="M344" s="14"/>
      <c r="N344" s="14"/>
      <c r="O344" s="14"/>
      <c r="P344" s="14"/>
      <c r="Q344" s="14"/>
      <c r="R344" s="23"/>
      <c r="S344" s="24"/>
      <c r="T344" s="25"/>
      <c r="U344" s="14"/>
      <c r="V344" s="14"/>
      <c r="W344" s="24"/>
      <c r="X344" s="14"/>
    </row>
    <row r="345">
      <c r="A345" s="14"/>
      <c r="B345" s="22"/>
      <c r="C345" s="14"/>
      <c r="D345" s="14"/>
      <c r="E345" s="14"/>
      <c r="F345" s="14"/>
      <c r="G345" s="14"/>
      <c r="H345" s="14"/>
      <c r="I345" s="14"/>
      <c r="J345" s="14"/>
      <c r="K345" s="14"/>
      <c r="L345" s="14"/>
      <c r="M345" s="14"/>
      <c r="N345" s="14"/>
      <c r="O345" s="14"/>
      <c r="P345" s="14"/>
      <c r="Q345" s="14"/>
      <c r="R345" s="23"/>
      <c r="S345" s="24"/>
      <c r="T345" s="25"/>
      <c r="U345" s="14"/>
      <c r="V345" s="14"/>
      <c r="W345" s="24"/>
      <c r="X345" s="14"/>
    </row>
    <row r="346">
      <c r="A346" s="14"/>
      <c r="B346" s="22"/>
      <c r="C346" s="14"/>
      <c r="D346" s="14"/>
      <c r="E346" s="14"/>
      <c r="F346" s="14"/>
      <c r="G346" s="14"/>
      <c r="H346" s="14"/>
      <c r="I346" s="14"/>
      <c r="J346" s="14"/>
      <c r="K346" s="14"/>
      <c r="L346" s="14"/>
      <c r="M346" s="14"/>
      <c r="N346" s="14"/>
      <c r="O346" s="14"/>
      <c r="P346" s="14"/>
      <c r="Q346" s="14"/>
      <c r="R346" s="23"/>
      <c r="S346" s="24"/>
      <c r="T346" s="25"/>
      <c r="U346" s="14"/>
      <c r="V346" s="14"/>
      <c r="W346" s="24"/>
      <c r="X346" s="14"/>
    </row>
    <row r="347">
      <c r="A347" s="14"/>
      <c r="B347" s="22"/>
      <c r="C347" s="14"/>
      <c r="D347" s="14"/>
      <c r="E347" s="14"/>
      <c r="F347" s="14"/>
      <c r="G347" s="14"/>
      <c r="H347" s="14"/>
      <c r="I347" s="14"/>
      <c r="J347" s="14"/>
      <c r="K347" s="14"/>
      <c r="L347" s="14"/>
      <c r="M347" s="14"/>
      <c r="N347" s="14"/>
      <c r="O347" s="14"/>
      <c r="P347" s="14"/>
      <c r="Q347" s="14"/>
      <c r="R347" s="23"/>
      <c r="S347" s="24"/>
      <c r="T347" s="25"/>
      <c r="U347" s="14"/>
      <c r="V347" s="14"/>
      <c r="W347" s="24"/>
      <c r="X347" s="14"/>
    </row>
    <row r="348">
      <c r="A348" s="14"/>
      <c r="B348" s="22"/>
      <c r="C348" s="14"/>
      <c r="D348" s="14"/>
      <c r="E348" s="14"/>
      <c r="F348" s="14"/>
      <c r="G348" s="14"/>
      <c r="H348" s="14"/>
      <c r="I348" s="14"/>
      <c r="J348" s="14"/>
      <c r="K348" s="14"/>
      <c r="L348" s="14"/>
      <c r="M348" s="14"/>
      <c r="N348" s="14"/>
      <c r="O348" s="14"/>
      <c r="P348" s="14"/>
      <c r="Q348" s="14"/>
      <c r="R348" s="23"/>
      <c r="S348" s="24"/>
      <c r="T348" s="25"/>
      <c r="U348" s="14"/>
      <c r="V348" s="14"/>
      <c r="W348" s="24"/>
      <c r="X348" s="14"/>
    </row>
    <row r="349">
      <c r="A349" s="14"/>
      <c r="B349" s="22"/>
      <c r="C349" s="14"/>
      <c r="D349" s="14"/>
      <c r="E349" s="14"/>
      <c r="F349" s="14"/>
      <c r="G349" s="14"/>
      <c r="H349" s="14"/>
      <c r="I349" s="14"/>
      <c r="J349" s="14"/>
      <c r="K349" s="14"/>
      <c r="L349" s="14"/>
      <c r="M349" s="14"/>
      <c r="N349" s="14"/>
      <c r="O349" s="14"/>
      <c r="P349" s="14"/>
      <c r="Q349" s="14"/>
      <c r="R349" s="23"/>
      <c r="S349" s="24"/>
      <c r="T349" s="25"/>
      <c r="U349" s="14"/>
      <c r="V349" s="14"/>
      <c r="W349" s="24"/>
      <c r="X349" s="14"/>
    </row>
    <row r="350">
      <c r="A350" s="14"/>
      <c r="B350" s="22"/>
      <c r="C350" s="14"/>
      <c r="D350" s="14"/>
      <c r="E350" s="14"/>
      <c r="F350" s="14"/>
      <c r="G350" s="14"/>
      <c r="H350" s="14"/>
      <c r="I350" s="14"/>
      <c r="J350" s="14"/>
      <c r="K350" s="14"/>
      <c r="L350" s="14"/>
      <c r="M350" s="14"/>
      <c r="N350" s="14"/>
      <c r="O350" s="14"/>
      <c r="P350" s="14"/>
      <c r="Q350" s="14"/>
      <c r="R350" s="23"/>
      <c r="S350" s="24"/>
      <c r="T350" s="25"/>
      <c r="U350" s="14"/>
      <c r="V350" s="14"/>
      <c r="W350" s="24"/>
      <c r="X350" s="14"/>
    </row>
    <row r="351">
      <c r="A351" s="14"/>
      <c r="B351" s="22"/>
      <c r="C351" s="14"/>
      <c r="D351" s="14"/>
      <c r="E351" s="14"/>
      <c r="F351" s="14"/>
      <c r="G351" s="14"/>
      <c r="H351" s="14"/>
      <c r="I351" s="14"/>
      <c r="J351" s="14"/>
      <c r="K351" s="14"/>
      <c r="L351" s="14"/>
      <c r="M351" s="14"/>
      <c r="N351" s="14"/>
      <c r="O351" s="14"/>
      <c r="P351" s="14"/>
      <c r="Q351" s="14"/>
      <c r="R351" s="23"/>
      <c r="S351" s="24"/>
      <c r="T351" s="25"/>
      <c r="U351" s="14"/>
      <c r="V351" s="14"/>
      <c r="W351" s="24"/>
      <c r="X351" s="14"/>
    </row>
    <row r="352">
      <c r="A352" s="14"/>
      <c r="B352" s="22"/>
      <c r="C352" s="14"/>
      <c r="D352" s="14"/>
      <c r="E352" s="14"/>
      <c r="F352" s="14"/>
      <c r="G352" s="14"/>
      <c r="H352" s="14"/>
      <c r="I352" s="14"/>
      <c r="J352" s="14"/>
      <c r="K352" s="14"/>
      <c r="L352" s="14"/>
      <c r="M352" s="14"/>
      <c r="N352" s="14"/>
      <c r="O352" s="14"/>
      <c r="P352" s="14"/>
      <c r="Q352" s="14"/>
      <c r="R352" s="23"/>
      <c r="S352" s="24"/>
      <c r="T352" s="25"/>
      <c r="U352" s="14"/>
      <c r="V352" s="14"/>
      <c r="W352" s="24"/>
      <c r="X352" s="14"/>
    </row>
    <row r="353">
      <c r="A353" s="14"/>
      <c r="B353" s="22"/>
      <c r="C353" s="14"/>
      <c r="D353" s="14"/>
      <c r="E353" s="14"/>
      <c r="F353" s="14"/>
      <c r="G353" s="14"/>
      <c r="H353" s="14"/>
      <c r="I353" s="14"/>
      <c r="J353" s="14"/>
      <c r="K353" s="14"/>
      <c r="L353" s="14"/>
      <c r="M353" s="14"/>
      <c r="N353" s="14"/>
      <c r="O353" s="14"/>
      <c r="P353" s="14"/>
      <c r="Q353" s="14"/>
      <c r="R353" s="23"/>
      <c r="S353" s="24"/>
      <c r="T353" s="25"/>
      <c r="U353" s="14"/>
      <c r="V353" s="14"/>
      <c r="W353" s="24"/>
      <c r="X353" s="14"/>
    </row>
    <row r="354">
      <c r="A354" s="14"/>
      <c r="B354" s="22"/>
      <c r="C354" s="14"/>
      <c r="D354" s="14"/>
      <c r="E354" s="14"/>
      <c r="F354" s="14"/>
      <c r="G354" s="14"/>
      <c r="H354" s="14"/>
      <c r="I354" s="14"/>
      <c r="J354" s="14"/>
      <c r="K354" s="14"/>
      <c r="L354" s="14"/>
      <c r="M354" s="14"/>
      <c r="N354" s="14"/>
      <c r="O354" s="14"/>
      <c r="P354" s="14"/>
      <c r="Q354" s="14"/>
      <c r="R354" s="23"/>
      <c r="S354" s="24"/>
      <c r="T354" s="25"/>
      <c r="U354" s="14"/>
      <c r="V354" s="14"/>
      <c r="W354" s="24"/>
      <c r="X354" s="14"/>
    </row>
    <row r="355">
      <c r="A355" s="14"/>
      <c r="B355" s="22"/>
      <c r="C355" s="14"/>
      <c r="D355" s="14"/>
      <c r="E355" s="14"/>
      <c r="F355" s="14"/>
      <c r="G355" s="14"/>
      <c r="H355" s="14"/>
      <c r="I355" s="14"/>
      <c r="J355" s="14"/>
      <c r="K355" s="14"/>
      <c r="L355" s="14"/>
      <c r="M355" s="14"/>
      <c r="N355" s="14"/>
      <c r="O355" s="14"/>
      <c r="P355" s="14"/>
      <c r="Q355" s="14"/>
      <c r="R355" s="23"/>
      <c r="S355" s="24"/>
      <c r="T355" s="25"/>
      <c r="U355" s="14"/>
      <c r="V355" s="14"/>
      <c r="W355" s="24"/>
      <c r="X355" s="14"/>
    </row>
    <row r="356">
      <c r="A356" s="14"/>
      <c r="B356" s="22"/>
      <c r="C356" s="14"/>
      <c r="D356" s="14"/>
      <c r="E356" s="14"/>
      <c r="F356" s="14"/>
      <c r="G356" s="14"/>
      <c r="H356" s="14"/>
      <c r="I356" s="14"/>
      <c r="J356" s="14"/>
      <c r="K356" s="14"/>
      <c r="L356" s="14"/>
      <c r="M356" s="14"/>
      <c r="N356" s="14"/>
      <c r="O356" s="14"/>
      <c r="P356" s="14"/>
      <c r="Q356" s="14"/>
      <c r="R356" s="23"/>
      <c r="S356" s="24"/>
      <c r="T356" s="25"/>
      <c r="U356" s="14"/>
      <c r="V356" s="14"/>
      <c r="W356" s="24"/>
      <c r="X356" s="14"/>
    </row>
    <row r="357">
      <c r="A357" s="14"/>
      <c r="B357" s="22"/>
      <c r="C357" s="14"/>
      <c r="D357" s="14"/>
      <c r="E357" s="14"/>
      <c r="F357" s="14"/>
      <c r="G357" s="14"/>
      <c r="H357" s="14"/>
      <c r="I357" s="14"/>
      <c r="J357" s="14"/>
      <c r="K357" s="14"/>
      <c r="L357" s="14"/>
      <c r="M357" s="14"/>
      <c r="N357" s="14"/>
      <c r="O357" s="14"/>
      <c r="P357" s="14"/>
      <c r="Q357" s="14"/>
      <c r="R357" s="23"/>
      <c r="S357" s="24"/>
      <c r="T357" s="25"/>
      <c r="U357" s="14"/>
      <c r="V357" s="14"/>
      <c r="W357" s="24"/>
      <c r="X357" s="14"/>
    </row>
    <row r="358">
      <c r="A358" s="14"/>
      <c r="B358" s="22"/>
      <c r="C358" s="14"/>
      <c r="D358" s="14"/>
      <c r="E358" s="14"/>
      <c r="F358" s="14"/>
      <c r="G358" s="14"/>
      <c r="H358" s="14"/>
      <c r="I358" s="14"/>
      <c r="J358" s="14"/>
      <c r="K358" s="14"/>
      <c r="L358" s="14"/>
      <c r="M358" s="14"/>
      <c r="N358" s="14"/>
      <c r="O358" s="14"/>
      <c r="P358" s="14"/>
      <c r="Q358" s="14"/>
      <c r="R358" s="23"/>
      <c r="S358" s="24"/>
      <c r="T358" s="25"/>
      <c r="U358" s="14"/>
      <c r="V358" s="14"/>
      <c r="W358" s="24"/>
      <c r="X358" s="14"/>
    </row>
    <row r="359">
      <c r="A359" s="14"/>
      <c r="B359" s="22"/>
      <c r="C359" s="14"/>
      <c r="D359" s="14"/>
      <c r="E359" s="14"/>
      <c r="F359" s="14"/>
      <c r="G359" s="14"/>
      <c r="H359" s="14"/>
      <c r="I359" s="14"/>
      <c r="J359" s="14"/>
      <c r="K359" s="14"/>
      <c r="L359" s="14"/>
      <c r="M359" s="14"/>
      <c r="N359" s="14"/>
      <c r="O359" s="14"/>
      <c r="P359" s="14"/>
      <c r="Q359" s="14"/>
      <c r="R359" s="23"/>
      <c r="S359" s="24"/>
      <c r="T359" s="25"/>
      <c r="U359" s="14"/>
      <c r="V359" s="14"/>
      <c r="W359" s="24"/>
      <c r="X359" s="14"/>
    </row>
    <row r="360">
      <c r="A360" s="14"/>
      <c r="B360" s="22"/>
      <c r="C360" s="14"/>
      <c r="D360" s="14"/>
      <c r="E360" s="14"/>
      <c r="F360" s="14"/>
      <c r="G360" s="14"/>
      <c r="H360" s="14"/>
      <c r="I360" s="14"/>
      <c r="J360" s="14"/>
      <c r="K360" s="14"/>
      <c r="L360" s="14"/>
      <c r="M360" s="14"/>
      <c r="N360" s="14"/>
      <c r="O360" s="14"/>
      <c r="P360" s="14"/>
      <c r="Q360" s="14"/>
      <c r="R360" s="23"/>
      <c r="S360" s="24"/>
      <c r="T360" s="25"/>
      <c r="U360" s="14"/>
      <c r="V360" s="14"/>
      <c r="W360" s="24"/>
      <c r="X360" s="14"/>
    </row>
    <row r="361">
      <c r="A361" s="14"/>
      <c r="B361" s="22"/>
      <c r="C361" s="14"/>
      <c r="D361" s="14"/>
      <c r="E361" s="14"/>
      <c r="F361" s="14"/>
      <c r="G361" s="14"/>
      <c r="H361" s="14"/>
      <c r="I361" s="14"/>
      <c r="J361" s="14"/>
      <c r="K361" s="14"/>
      <c r="L361" s="14"/>
      <c r="M361" s="14"/>
      <c r="N361" s="14"/>
      <c r="O361" s="14"/>
      <c r="P361" s="14"/>
      <c r="Q361" s="14"/>
      <c r="R361" s="23"/>
      <c r="S361" s="24"/>
      <c r="T361" s="25"/>
      <c r="U361" s="14"/>
      <c r="V361" s="14"/>
      <c r="W361" s="24"/>
      <c r="X361" s="14"/>
    </row>
    <row r="362">
      <c r="A362" s="14"/>
      <c r="B362" s="22"/>
      <c r="C362" s="14"/>
      <c r="D362" s="14"/>
      <c r="E362" s="14"/>
      <c r="F362" s="14"/>
      <c r="G362" s="14"/>
      <c r="H362" s="14"/>
      <c r="I362" s="14"/>
      <c r="J362" s="14"/>
      <c r="K362" s="14"/>
      <c r="L362" s="14"/>
      <c r="M362" s="14"/>
      <c r="N362" s="14"/>
      <c r="O362" s="14"/>
      <c r="P362" s="14"/>
      <c r="Q362" s="14"/>
      <c r="R362" s="23"/>
      <c r="S362" s="24"/>
      <c r="T362" s="25"/>
      <c r="U362" s="14"/>
      <c r="V362" s="14"/>
      <c r="W362" s="24"/>
      <c r="X362" s="14"/>
    </row>
    <row r="363">
      <c r="A363" s="14"/>
      <c r="B363" s="22"/>
      <c r="C363" s="14"/>
      <c r="D363" s="14"/>
      <c r="E363" s="14"/>
      <c r="F363" s="14"/>
      <c r="G363" s="14"/>
      <c r="H363" s="14"/>
      <c r="I363" s="14"/>
      <c r="J363" s="14"/>
      <c r="K363" s="14"/>
      <c r="L363" s="14"/>
      <c r="M363" s="14"/>
      <c r="N363" s="14"/>
      <c r="O363" s="14"/>
      <c r="P363" s="14"/>
      <c r="Q363" s="14"/>
      <c r="R363" s="23"/>
      <c r="S363" s="24"/>
      <c r="T363" s="25"/>
      <c r="U363" s="14"/>
      <c r="V363" s="14"/>
      <c r="W363" s="24"/>
      <c r="X363" s="14"/>
    </row>
    <row r="364">
      <c r="A364" s="14"/>
      <c r="B364" s="22"/>
      <c r="C364" s="14"/>
      <c r="D364" s="14"/>
      <c r="E364" s="14"/>
      <c r="F364" s="14"/>
      <c r="G364" s="14"/>
      <c r="H364" s="14"/>
      <c r="I364" s="14"/>
      <c r="J364" s="14"/>
      <c r="K364" s="14"/>
      <c r="L364" s="14"/>
      <c r="M364" s="14"/>
      <c r="N364" s="14"/>
      <c r="O364" s="14"/>
      <c r="P364" s="14"/>
      <c r="Q364" s="14"/>
      <c r="R364" s="23"/>
      <c r="S364" s="24"/>
      <c r="T364" s="25"/>
      <c r="U364" s="14"/>
      <c r="V364" s="14"/>
      <c r="W364" s="24"/>
      <c r="X364" s="14"/>
    </row>
    <row r="365">
      <c r="A365" s="14"/>
      <c r="B365" s="22"/>
      <c r="C365" s="14"/>
      <c r="D365" s="14"/>
      <c r="E365" s="14"/>
      <c r="F365" s="14"/>
      <c r="G365" s="14"/>
      <c r="H365" s="14"/>
      <c r="I365" s="14"/>
      <c r="J365" s="14"/>
      <c r="K365" s="14"/>
      <c r="L365" s="14"/>
      <c r="M365" s="14"/>
      <c r="N365" s="14"/>
      <c r="O365" s="14"/>
      <c r="P365" s="14"/>
      <c r="Q365" s="14"/>
      <c r="R365" s="23"/>
      <c r="S365" s="24"/>
      <c r="T365" s="25"/>
      <c r="U365" s="14"/>
      <c r="V365" s="14"/>
      <c r="W365" s="24"/>
      <c r="X365" s="14"/>
    </row>
    <row r="366">
      <c r="A366" s="14"/>
      <c r="B366" s="22"/>
      <c r="C366" s="14"/>
      <c r="D366" s="14"/>
      <c r="E366" s="14"/>
      <c r="F366" s="14"/>
      <c r="G366" s="14"/>
      <c r="H366" s="14"/>
      <c r="I366" s="14"/>
      <c r="J366" s="14"/>
      <c r="K366" s="14"/>
      <c r="L366" s="14"/>
      <c r="M366" s="14"/>
      <c r="N366" s="14"/>
      <c r="O366" s="14"/>
      <c r="P366" s="14"/>
      <c r="Q366" s="14"/>
      <c r="R366" s="23"/>
      <c r="S366" s="24"/>
      <c r="T366" s="25"/>
      <c r="U366" s="14"/>
      <c r="V366" s="14"/>
      <c r="W366" s="24"/>
      <c r="X366" s="14"/>
    </row>
    <row r="367">
      <c r="A367" s="14"/>
      <c r="B367" s="22"/>
      <c r="C367" s="14"/>
      <c r="D367" s="14"/>
      <c r="E367" s="14"/>
      <c r="F367" s="14"/>
      <c r="G367" s="14"/>
      <c r="H367" s="14"/>
      <c r="I367" s="14"/>
      <c r="J367" s="14"/>
      <c r="K367" s="14"/>
      <c r="L367" s="14"/>
      <c r="M367" s="14"/>
      <c r="N367" s="14"/>
      <c r="O367" s="14"/>
      <c r="P367" s="14"/>
      <c r="Q367" s="14"/>
      <c r="R367" s="23"/>
      <c r="S367" s="24"/>
      <c r="T367" s="25"/>
      <c r="U367" s="14"/>
      <c r="V367" s="14"/>
      <c r="W367" s="24"/>
      <c r="X367" s="14"/>
    </row>
    <row r="368">
      <c r="A368" s="14"/>
      <c r="B368" s="22"/>
      <c r="C368" s="14"/>
      <c r="D368" s="14"/>
      <c r="E368" s="14"/>
      <c r="F368" s="14"/>
      <c r="G368" s="14"/>
      <c r="H368" s="14"/>
      <c r="I368" s="14"/>
      <c r="J368" s="14"/>
      <c r="K368" s="14"/>
      <c r="L368" s="14"/>
      <c r="M368" s="14"/>
      <c r="N368" s="14"/>
      <c r="O368" s="14"/>
      <c r="P368" s="14"/>
      <c r="Q368" s="14"/>
      <c r="R368" s="23"/>
      <c r="S368" s="24"/>
      <c r="T368" s="25"/>
      <c r="U368" s="14"/>
      <c r="V368" s="14"/>
      <c r="W368" s="24"/>
      <c r="X368" s="14"/>
    </row>
    <row r="369">
      <c r="A369" s="14"/>
      <c r="B369" s="22"/>
      <c r="C369" s="14"/>
      <c r="D369" s="14"/>
      <c r="E369" s="14"/>
      <c r="F369" s="14"/>
      <c r="G369" s="14"/>
      <c r="H369" s="14"/>
      <c r="I369" s="14"/>
      <c r="J369" s="14"/>
      <c r="K369" s="14"/>
      <c r="L369" s="14"/>
      <c r="M369" s="14"/>
      <c r="N369" s="14"/>
      <c r="O369" s="14"/>
      <c r="P369" s="14"/>
      <c r="Q369" s="14"/>
      <c r="R369" s="23"/>
      <c r="S369" s="24"/>
      <c r="T369" s="25"/>
      <c r="U369" s="14"/>
      <c r="V369" s="14"/>
      <c r="W369" s="24"/>
      <c r="X369" s="14"/>
    </row>
    <row r="370">
      <c r="A370" s="14"/>
      <c r="B370" s="22"/>
      <c r="C370" s="14"/>
      <c r="D370" s="14"/>
      <c r="E370" s="14"/>
      <c r="F370" s="14"/>
      <c r="G370" s="14"/>
      <c r="H370" s="14"/>
      <c r="I370" s="14"/>
      <c r="J370" s="14"/>
      <c r="K370" s="14"/>
      <c r="L370" s="14"/>
      <c r="M370" s="14"/>
      <c r="N370" s="14"/>
      <c r="O370" s="14"/>
      <c r="P370" s="14"/>
      <c r="Q370" s="14"/>
      <c r="R370" s="23"/>
      <c r="S370" s="24"/>
      <c r="T370" s="25"/>
      <c r="U370" s="14"/>
      <c r="V370" s="14"/>
      <c r="W370" s="24"/>
      <c r="X370" s="14"/>
    </row>
    <row r="371">
      <c r="A371" s="14"/>
      <c r="B371" s="22"/>
      <c r="C371" s="14"/>
      <c r="D371" s="14"/>
      <c r="E371" s="14"/>
      <c r="F371" s="14"/>
      <c r="G371" s="14"/>
      <c r="H371" s="14"/>
      <c r="I371" s="14"/>
      <c r="J371" s="14"/>
      <c r="K371" s="14"/>
      <c r="L371" s="14"/>
      <c r="M371" s="14"/>
      <c r="N371" s="14"/>
      <c r="O371" s="14"/>
      <c r="P371" s="14"/>
      <c r="Q371" s="14"/>
      <c r="R371" s="23"/>
      <c r="S371" s="24"/>
      <c r="T371" s="25"/>
      <c r="U371" s="14"/>
      <c r="V371" s="14"/>
      <c r="W371" s="24"/>
      <c r="X371" s="14"/>
    </row>
    <row r="372">
      <c r="A372" s="14"/>
      <c r="B372" s="22"/>
      <c r="C372" s="14"/>
      <c r="D372" s="14"/>
      <c r="E372" s="14"/>
      <c r="F372" s="14"/>
      <c r="G372" s="14"/>
      <c r="H372" s="14"/>
      <c r="I372" s="14"/>
      <c r="J372" s="14"/>
      <c r="K372" s="14"/>
      <c r="L372" s="14"/>
      <c r="M372" s="14"/>
      <c r="N372" s="14"/>
      <c r="O372" s="14"/>
      <c r="P372" s="14"/>
      <c r="Q372" s="14"/>
      <c r="R372" s="23"/>
      <c r="S372" s="24"/>
      <c r="T372" s="25"/>
      <c r="U372" s="14"/>
      <c r="V372" s="14"/>
      <c r="W372" s="24"/>
      <c r="X372" s="14"/>
    </row>
    <row r="373">
      <c r="A373" s="14"/>
      <c r="B373" s="22"/>
      <c r="C373" s="14"/>
      <c r="D373" s="14"/>
      <c r="E373" s="14"/>
      <c r="F373" s="14"/>
      <c r="G373" s="14"/>
      <c r="H373" s="14"/>
      <c r="I373" s="14"/>
      <c r="J373" s="14"/>
      <c r="K373" s="14"/>
      <c r="L373" s="14"/>
      <c r="M373" s="14"/>
      <c r="N373" s="14"/>
      <c r="O373" s="14"/>
      <c r="P373" s="14"/>
      <c r="Q373" s="14"/>
      <c r="R373" s="23"/>
      <c r="S373" s="24"/>
      <c r="T373" s="25"/>
      <c r="U373" s="14"/>
      <c r="V373" s="14"/>
      <c r="W373" s="24"/>
      <c r="X373" s="14"/>
    </row>
    <row r="374">
      <c r="A374" s="14"/>
      <c r="B374" s="22"/>
      <c r="C374" s="14"/>
      <c r="D374" s="14"/>
      <c r="E374" s="14"/>
      <c r="F374" s="14"/>
      <c r="G374" s="14"/>
      <c r="H374" s="14"/>
      <c r="I374" s="14"/>
      <c r="J374" s="14"/>
      <c r="K374" s="14"/>
      <c r="L374" s="14"/>
      <c r="M374" s="14"/>
      <c r="N374" s="14"/>
      <c r="O374" s="14"/>
      <c r="P374" s="14"/>
      <c r="Q374" s="14"/>
      <c r="R374" s="23"/>
      <c r="S374" s="24"/>
      <c r="T374" s="25"/>
      <c r="U374" s="14"/>
      <c r="V374" s="14"/>
      <c r="W374" s="24"/>
      <c r="X374" s="14"/>
    </row>
    <row r="375">
      <c r="A375" s="14"/>
      <c r="B375" s="22"/>
      <c r="C375" s="14"/>
      <c r="D375" s="14"/>
      <c r="E375" s="14"/>
      <c r="F375" s="14"/>
      <c r="G375" s="14"/>
      <c r="H375" s="14"/>
      <c r="I375" s="14"/>
      <c r="J375" s="14"/>
      <c r="K375" s="14"/>
      <c r="L375" s="14"/>
      <c r="M375" s="14"/>
      <c r="N375" s="14"/>
      <c r="O375" s="14"/>
      <c r="P375" s="14"/>
      <c r="Q375" s="14"/>
      <c r="R375" s="23"/>
      <c r="S375" s="24"/>
      <c r="T375" s="25"/>
      <c r="U375" s="14"/>
      <c r="V375" s="14"/>
      <c r="W375" s="24"/>
      <c r="X375" s="14"/>
    </row>
    <row r="376">
      <c r="A376" s="14"/>
      <c r="B376" s="22"/>
      <c r="C376" s="14"/>
      <c r="D376" s="14"/>
      <c r="E376" s="14"/>
      <c r="F376" s="14"/>
      <c r="G376" s="14"/>
      <c r="H376" s="14"/>
      <c r="I376" s="14"/>
      <c r="J376" s="14"/>
      <c r="K376" s="14"/>
      <c r="L376" s="14"/>
      <c r="M376" s="14"/>
      <c r="N376" s="14"/>
      <c r="O376" s="14"/>
      <c r="P376" s="14"/>
      <c r="Q376" s="14"/>
      <c r="R376" s="23"/>
      <c r="S376" s="24"/>
      <c r="T376" s="25"/>
      <c r="U376" s="14"/>
      <c r="V376" s="14"/>
      <c r="W376" s="24"/>
      <c r="X376" s="14"/>
    </row>
    <row r="377">
      <c r="A377" s="14"/>
      <c r="B377" s="22"/>
      <c r="C377" s="14"/>
      <c r="D377" s="14"/>
      <c r="E377" s="14"/>
      <c r="F377" s="14"/>
      <c r="G377" s="14"/>
      <c r="H377" s="14"/>
      <c r="I377" s="14"/>
      <c r="J377" s="14"/>
      <c r="K377" s="14"/>
      <c r="L377" s="14"/>
      <c r="M377" s="14"/>
      <c r="N377" s="14"/>
      <c r="O377" s="14"/>
      <c r="P377" s="14"/>
      <c r="Q377" s="14"/>
      <c r="R377" s="23"/>
      <c r="S377" s="24"/>
      <c r="T377" s="25"/>
      <c r="U377" s="14"/>
      <c r="V377" s="14"/>
      <c r="W377" s="24"/>
      <c r="X377" s="14"/>
    </row>
    <row r="378">
      <c r="A378" s="14"/>
      <c r="B378" s="22"/>
      <c r="C378" s="14"/>
      <c r="D378" s="14"/>
      <c r="E378" s="14"/>
      <c r="F378" s="14"/>
      <c r="G378" s="14"/>
      <c r="H378" s="14"/>
      <c r="I378" s="14"/>
      <c r="J378" s="14"/>
      <c r="K378" s="14"/>
      <c r="L378" s="14"/>
      <c r="M378" s="14"/>
      <c r="N378" s="14"/>
      <c r="O378" s="14"/>
      <c r="P378" s="14"/>
      <c r="Q378" s="14"/>
      <c r="R378" s="23"/>
      <c r="S378" s="24"/>
      <c r="T378" s="25"/>
      <c r="U378" s="14"/>
      <c r="V378" s="14"/>
      <c r="W378" s="24"/>
      <c r="X378" s="14"/>
    </row>
    <row r="379">
      <c r="A379" s="14"/>
      <c r="B379" s="22"/>
      <c r="C379" s="14"/>
      <c r="D379" s="14"/>
      <c r="E379" s="14"/>
      <c r="F379" s="14"/>
      <c r="G379" s="14"/>
      <c r="H379" s="14"/>
      <c r="I379" s="14"/>
      <c r="J379" s="14"/>
      <c r="K379" s="14"/>
      <c r="L379" s="14"/>
      <c r="M379" s="14"/>
      <c r="N379" s="14"/>
      <c r="O379" s="14"/>
      <c r="P379" s="14"/>
      <c r="Q379" s="14"/>
      <c r="R379" s="23"/>
      <c r="S379" s="24"/>
      <c r="T379" s="25"/>
      <c r="U379" s="14"/>
      <c r="V379" s="14"/>
      <c r="W379" s="24"/>
      <c r="X379" s="14"/>
    </row>
    <row r="380">
      <c r="A380" s="14"/>
      <c r="B380" s="22"/>
      <c r="C380" s="14"/>
      <c r="D380" s="14"/>
      <c r="E380" s="14"/>
      <c r="F380" s="14"/>
      <c r="G380" s="14"/>
      <c r="H380" s="14"/>
      <c r="I380" s="14"/>
      <c r="J380" s="14"/>
      <c r="K380" s="14"/>
      <c r="L380" s="14"/>
      <c r="M380" s="14"/>
      <c r="N380" s="14"/>
      <c r="O380" s="14"/>
      <c r="P380" s="14"/>
      <c r="Q380" s="14"/>
      <c r="R380" s="23"/>
      <c r="S380" s="24"/>
      <c r="T380" s="25"/>
      <c r="U380" s="14"/>
      <c r="V380" s="14"/>
      <c r="W380" s="24"/>
      <c r="X380" s="14"/>
    </row>
    <row r="381">
      <c r="A381" s="14"/>
      <c r="B381" s="22"/>
      <c r="C381" s="14"/>
      <c r="D381" s="14"/>
      <c r="E381" s="14"/>
      <c r="F381" s="14"/>
      <c r="G381" s="14"/>
      <c r="H381" s="14"/>
      <c r="I381" s="14"/>
      <c r="J381" s="14"/>
      <c r="K381" s="14"/>
      <c r="L381" s="14"/>
      <c r="M381" s="14"/>
      <c r="N381" s="14"/>
      <c r="O381" s="14"/>
      <c r="P381" s="14"/>
      <c r="Q381" s="14"/>
      <c r="R381" s="23"/>
      <c r="S381" s="24"/>
      <c r="T381" s="25"/>
      <c r="U381" s="14"/>
      <c r="V381" s="14"/>
      <c r="W381" s="24"/>
      <c r="X381" s="14"/>
    </row>
    <row r="382">
      <c r="A382" s="14"/>
      <c r="B382" s="22"/>
      <c r="C382" s="14"/>
      <c r="D382" s="14"/>
      <c r="E382" s="14"/>
      <c r="F382" s="14"/>
      <c r="G382" s="14"/>
      <c r="H382" s="14"/>
      <c r="I382" s="14"/>
      <c r="J382" s="14"/>
      <c r="K382" s="14"/>
      <c r="L382" s="14"/>
      <c r="M382" s="14"/>
      <c r="N382" s="14"/>
      <c r="O382" s="14"/>
      <c r="P382" s="14"/>
      <c r="Q382" s="14"/>
      <c r="R382" s="23"/>
      <c r="S382" s="24"/>
      <c r="T382" s="25"/>
      <c r="U382" s="14"/>
      <c r="V382" s="14"/>
      <c r="W382" s="24"/>
      <c r="X382" s="14"/>
    </row>
    <row r="383">
      <c r="A383" s="14"/>
      <c r="B383" s="22"/>
      <c r="C383" s="14"/>
      <c r="D383" s="14"/>
      <c r="E383" s="14"/>
      <c r="F383" s="14"/>
      <c r="G383" s="14"/>
      <c r="H383" s="14"/>
      <c r="I383" s="14"/>
      <c r="J383" s="14"/>
      <c r="K383" s="14"/>
      <c r="L383" s="14"/>
      <c r="M383" s="14"/>
      <c r="N383" s="14"/>
      <c r="O383" s="14"/>
      <c r="P383" s="14"/>
      <c r="Q383" s="14"/>
      <c r="R383" s="23"/>
      <c r="S383" s="24"/>
      <c r="T383" s="25"/>
      <c r="U383" s="14"/>
      <c r="V383" s="14"/>
      <c r="W383" s="24"/>
      <c r="X383" s="14"/>
    </row>
    <row r="384">
      <c r="A384" s="14"/>
      <c r="B384" s="22"/>
      <c r="C384" s="14"/>
      <c r="D384" s="14"/>
      <c r="E384" s="14"/>
      <c r="F384" s="14"/>
      <c r="G384" s="14"/>
      <c r="H384" s="14"/>
      <c r="I384" s="14"/>
      <c r="J384" s="14"/>
      <c r="K384" s="14"/>
      <c r="L384" s="14"/>
      <c r="M384" s="14"/>
      <c r="N384" s="14"/>
      <c r="O384" s="14"/>
      <c r="P384" s="14"/>
      <c r="Q384" s="14"/>
      <c r="R384" s="23"/>
      <c r="S384" s="24"/>
      <c r="T384" s="25"/>
      <c r="U384" s="14"/>
      <c r="V384" s="14"/>
      <c r="W384" s="24"/>
      <c r="X384" s="14"/>
    </row>
    <row r="385">
      <c r="A385" s="14"/>
      <c r="B385" s="22"/>
      <c r="C385" s="14"/>
      <c r="D385" s="14"/>
      <c r="E385" s="14"/>
      <c r="F385" s="14"/>
      <c r="G385" s="14"/>
      <c r="H385" s="14"/>
      <c r="I385" s="14"/>
      <c r="J385" s="14"/>
      <c r="K385" s="14"/>
      <c r="L385" s="14"/>
      <c r="M385" s="14"/>
      <c r="N385" s="14"/>
      <c r="O385" s="14"/>
      <c r="P385" s="14"/>
      <c r="Q385" s="14"/>
      <c r="R385" s="23"/>
      <c r="S385" s="24"/>
      <c r="T385" s="25"/>
      <c r="U385" s="14"/>
      <c r="V385" s="14"/>
      <c r="W385" s="24"/>
      <c r="X385" s="14"/>
    </row>
    <row r="386">
      <c r="A386" s="14"/>
      <c r="B386" s="22"/>
      <c r="C386" s="14"/>
      <c r="D386" s="14"/>
      <c r="E386" s="14"/>
      <c r="F386" s="14"/>
      <c r="G386" s="14"/>
      <c r="H386" s="14"/>
      <c r="I386" s="14"/>
      <c r="J386" s="14"/>
      <c r="K386" s="14"/>
      <c r="L386" s="14"/>
      <c r="M386" s="14"/>
      <c r="N386" s="14"/>
      <c r="O386" s="14"/>
      <c r="P386" s="14"/>
      <c r="Q386" s="14"/>
      <c r="R386" s="23"/>
      <c r="S386" s="24"/>
      <c r="T386" s="25"/>
      <c r="U386" s="14"/>
      <c r="V386" s="14"/>
      <c r="W386" s="24"/>
      <c r="X386" s="14"/>
    </row>
    <row r="387">
      <c r="A387" s="14"/>
      <c r="B387" s="22"/>
      <c r="C387" s="14"/>
      <c r="D387" s="14"/>
      <c r="E387" s="14"/>
      <c r="F387" s="14"/>
      <c r="G387" s="14"/>
      <c r="H387" s="14"/>
      <c r="I387" s="14"/>
      <c r="J387" s="14"/>
      <c r="K387" s="14"/>
      <c r="L387" s="14"/>
      <c r="M387" s="14"/>
      <c r="N387" s="14"/>
      <c r="O387" s="14"/>
      <c r="P387" s="14"/>
      <c r="Q387" s="14"/>
      <c r="R387" s="23"/>
      <c r="S387" s="24"/>
      <c r="T387" s="25"/>
      <c r="U387" s="14"/>
      <c r="V387" s="14"/>
      <c r="W387" s="24"/>
      <c r="X387" s="14"/>
    </row>
    <row r="388">
      <c r="A388" s="14"/>
      <c r="B388" s="22"/>
      <c r="C388" s="14"/>
      <c r="D388" s="14"/>
      <c r="E388" s="14"/>
      <c r="F388" s="14"/>
      <c r="G388" s="14"/>
      <c r="H388" s="14"/>
      <c r="I388" s="14"/>
      <c r="J388" s="14"/>
      <c r="K388" s="14"/>
      <c r="L388" s="14"/>
      <c r="M388" s="14"/>
      <c r="N388" s="14"/>
      <c r="O388" s="14"/>
      <c r="P388" s="14"/>
      <c r="Q388" s="14"/>
      <c r="R388" s="23"/>
      <c r="S388" s="24"/>
      <c r="T388" s="25"/>
      <c r="U388" s="14"/>
      <c r="V388" s="14"/>
      <c r="W388" s="24"/>
      <c r="X388" s="14"/>
    </row>
    <row r="389">
      <c r="A389" s="14"/>
      <c r="B389" s="22"/>
      <c r="C389" s="14"/>
      <c r="D389" s="14"/>
      <c r="E389" s="14"/>
      <c r="F389" s="14"/>
      <c r="G389" s="14"/>
      <c r="H389" s="14"/>
      <c r="I389" s="14"/>
      <c r="J389" s="14"/>
      <c r="K389" s="14"/>
      <c r="L389" s="14"/>
      <c r="M389" s="14"/>
      <c r="N389" s="14"/>
      <c r="O389" s="14"/>
      <c r="P389" s="14"/>
      <c r="Q389" s="14"/>
      <c r="R389" s="23"/>
      <c r="S389" s="24"/>
      <c r="T389" s="25"/>
      <c r="U389" s="14"/>
      <c r="V389" s="14"/>
      <c r="W389" s="24"/>
      <c r="X389" s="14"/>
    </row>
    <row r="390">
      <c r="A390" s="14"/>
      <c r="B390" s="22"/>
      <c r="C390" s="14"/>
      <c r="D390" s="14"/>
      <c r="E390" s="14"/>
      <c r="F390" s="14"/>
      <c r="G390" s="14"/>
      <c r="H390" s="14"/>
      <c r="I390" s="14"/>
      <c r="J390" s="14"/>
      <c r="K390" s="14"/>
      <c r="L390" s="14"/>
      <c r="M390" s="14"/>
      <c r="N390" s="14"/>
      <c r="O390" s="14"/>
      <c r="P390" s="14"/>
      <c r="Q390" s="14"/>
      <c r="R390" s="23"/>
      <c r="S390" s="24"/>
      <c r="T390" s="25"/>
      <c r="U390" s="14"/>
      <c r="V390" s="14"/>
      <c r="W390" s="24"/>
      <c r="X390" s="14"/>
    </row>
    <row r="391">
      <c r="A391" s="14"/>
      <c r="B391" s="22"/>
      <c r="C391" s="14"/>
      <c r="D391" s="14"/>
      <c r="E391" s="14"/>
      <c r="F391" s="14"/>
      <c r="G391" s="14"/>
      <c r="H391" s="14"/>
      <c r="I391" s="14"/>
      <c r="J391" s="14"/>
      <c r="K391" s="14"/>
      <c r="L391" s="14"/>
      <c r="M391" s="14"/>
      <c r="N391" s="14"/>
      <c r="O391" s="14"/>
      <c r="P391" s="14"/>
      <c r="Q391" s="14"/>
      <c r="R391" s="23"/>
      <c r="S391" s="24"/>
      <c r="T391" s="25"/>
      <c r="U391" s="14"/>
      <c r="V391" s="14"/>
      <c r="W391" s="24"/>
      <c r="X391" s="14"/>
    </row>
    <row r="392">
      <c r="A392" s="14"/>
      <c r="B392" s="22"/>
      <c r="C392" s="14"/>
      <c r="D392" s="14"/>
      <c r="E392" s="14"/>
      <c r="F392" s="14"/>
      <c r="G392" s="14"/>
      <c r="H392" s="14"/>
      <c r="I392" s="14"/>
      <c r="J392" s="14"/>
      <c r="K392" s="14"/>
      <c r="L392" s="14"/>
      <c r="M392" s="14"/>
      <c r="N392" s="14"/>
      <c r="O392" s="14"/>
      <c r="P392" s="14"/>
      <c r="Q392" s="14"/>
      <c r="R392" s="23"/>
      <c r="S392" s="24"/>
      <c r="T392" s="25"/>
      <c r="U392" s="14"/>
      <c r="V392" s="14"/>
      <c r="W392" s="24"/>
      <c r="X392" s="14"/>
    </row>
    <row r="393">
      <c r="A393" s="14"/>
      <c r="B393" s="22"/>
      <c r="C393" s="14"/>
      <c r="D393" s="14"/>
      <c r="E393" s="14"/>
      <c r="F393" s="14"/>
      <c r="G393" s="14"/>
      <c r="H393" s="14"/>
      <c r="I393" s="14"/>
      <c r="J393" s="14"/>
      <c r="K393" s="14"/>
      <c r="L393" s="14"/>
      <c r="M393" s="14"/>
      <c r="N393" s="14"/>
      <c r="O393" s="14"/>
      <c r="P393" s="14"/>
      <c r="Q393" s="14"/>
      <c r="R393" s="23"/>
      <c r="S393" s="24"/>
      <c r="T393" s="25"/>
      <c r="U393" s="14"/>
      <c r="V393" s="14"/>
      <c r="W393" s="24"/>
      <c r="X393" s="14"/>
    </row>
    <row r="394">
      <c r="A394" s="14"/>
      <c r="B394" s="22"/>
      <c r="C394" s="14"/>
      <c r="D394" s="14"/>
      <c r="E394" s="14"/>
      <c r="F394" s="14"/>
      <c r="G394" s="14"/>
      <c r="H394" s="14"/>
      <c r="I394" s="14"/>
      <c r="J394" s="14"/>
      <c r="K394" s="14"/>
      <c r="L394" s="14"/>
      <c r="M394" s="14"/>
      <c r="N394" s="14"/>
      <c r="O394" s="14"/>
      <c r="P394" s="14"/>
      <c r="Q394" s="14"/>
      <c r="R394" s="23"/>
      <c r="S394" s="24"/>
      <c r="T394" s="25"/>
      <c r="U394" s="14"/>
      <c r="V394" s="14"/>
      <c r="W394" s="24"/>
      <c r="X394" s="14"/>
    </row>
    <row r="395">
      <c r="A395" s="14"/>
      <c r="B395" s="22"/>
      <c r="C395" s="14"/>
      <c r="D395" s="14"/>
      <c r="E395" s="14"/>
      <c r="F395" s="14"/>
      <c r="G395" s="14"/>
      <c r="H395" s="14"/>
      <c r="I395" s="14"/>
      <c r="J395" s="14"/>
      <c r="K395" s="14"/>
      <c r="L395" s="14"/>
      <c r="M395" s="14"/>
      <c r="N395" s="14"/>
      <c r="O395" s="14"/>
      <c r="P395" s="14"/>
      <c r="Q395" s="14"/>
      <c r="R395" s="23"/>
      <c r="S395" s="24"/>
      <c r="T395" s="25"/>
      <c r="U395" s="14"/>
      <c r="V395" s="14"/>
      <c r="W395" s="24"/>
      <c r="X395" s="14"/>
    </row>
    <row r="396">
      <c r="A396" s="14"/>
      <c r="B396" s="22"/>
      <c r="C396" s="14"/>
      <c r="D396" s="14"/>
      <c r="E396" s="14"/>
      <c r="F396" s="14"/>
      <c r="G396" s="14"/>
      <c r="H396" s="14"/>
      <c r="I396" s="14"/>
      <c r="J396" s="14"/>
      <c r="K396" s="14"/>
      <c r="L396" s="14"/>
      <c r="M396" s="14"/>
      <c r="N396" s="14"/>
      <c r="O396" s="14"/>
      <c r="P396" s="14"/>
      <c r="Q396" s="14"/>
      <c r="R396" s="23"/>
      <c r="S396" s="24"/>
      <c r="T396" s="25"/>
      <c r="U396" s="14"/>
      <c r="V396" s="14"/>
      <c r="W396" s="24"/>
      <c r="X396" s="14"/>
    </row>
    <row r="397">
      <c r="A397" s="14"/>
      <c r="B397" s="22"/>
      <c r="C397" s="14"/>
      <c r="D397" s="14"/>
      <c r="E397" s="14"/>
      <c r="F397" s="14"/>
      <c r="G397" s="14"/>
      <c r="H397" s="14"/>
      <c r="I397" s="14"/>
      <c r="J397" s="14"/>
      <c r="K397" s="14"/>
      <c r="L397" s="14"/>
      <c r="M397" s="14"/>
      <c r="N397" s="14"/>
      <c r="O397" s="14"/>
      <c r="P397" s="14"/>
      <c r="Q397" s="14"/>
      <c r="R397" s="23"/>
      <c r="S397" s="24"/>
      <c r="T397" s="25"/>
      <c r="U397" s="14"/>
      <c r="V397" s="14"/>
      <c r="W397" s="24"/>
      <c r="X397" s="14"/>
    </row>
    <row r="398">
      <c r="A398" s="14"/>
      <c r="B398" s="22"/>
      <c r="C398" s="14"/>
      <c r="D398" s="14"/>
      <c r="E398" s="14"/>
      <c r="F398" s="14"/>
      <c r="G398" s="14"/>
      <c r="H398" s="14"/>
      <c r="I398" s="14"/>
      <c r="J398" s="14"/>
      <c r="K398" s="14"/>
      <c r="L398" s="14"/>
      <c r="M398" s="14"/>
      <c r="N398" s="14"/>
      <c r="O398" s="14"/>
      <c r="P398" s="14"/>
      <c r="Q398" s="14"/>
      <c r="R398" s="23"/>
      <c r="S398" s="24"/>
      <c r="T398" s="25"/>
      <c r="U398" s="14"/>
      <c r="V398" s="14"/>
      <c r="W398" s="24"/>
      <c r="X398" s="14"/>
    </row>
    <row r="399">
      <c r="A399" s="14"/>
      <c r="B399" s="22"/>
      <c r="C399" s="14"/>
      <c r="D399" s="14"/>
      <c r="E399" s="14"/>
      <c r="F399" s="14"/>
      <c r="G399" s="14"/>
      <c r="H399" s="14"/>
      <c r="I399" s="14"/>
      <c r="J399" s="14"/>
      <c r="K399" s="14"/>
      <c r="L399" s="14"/>
      <c r="M399" s="14"/>
      <c r="N399" s="14"/>
      <c r="O399" s="14"/>
      <c r="P399" s="14"/>
      <c r="Q399" s="14"/>
      <c r="R399" s="23"/>
      <c r="S399" s="24"/>
      <c r="T399" s="25"/>
      <c r="U399" s="14"/>
      <c r="V399" s="14"/>
      <c r="W399" s="24"/>
      <c r="X399" s="14"/>
    </row>
    <row r="400">
      <c r="A400" s="14"/>
      <c r="B400" s="22"/>
      <c r="C400" s="14"/>
      <c r="D400" s="14"/>
      <c r="E400" s="14"/>
      <c r="F400" s="14"/>
      <c r="G400" s="14"/>
      <c r="H400" s="14"/>
      <c r="I400" s="14"/>
      <c r="J400" s="14"/>
      <c r="K400" s="14"/>
      <c r="L400" s="14"/>
      <c r="M400" s="14"/>
      <c r="N400" s="14"/>
      <c r="O400" s="14"/>
      <c r="P400" s="14"/>
      <c r="Q400" s="14"/>
      <c r="R400" s="23"/>
      <c r="S400" s="24"/>
      <c r="T400" s="25"/>
      <c r="U400" s="14"/>
      <c r="V400" s="14"/>
      <c r="W400" s="24"/>
      <c r="X400" s="14"/>
    </row>
    <row r="401">
      <c r="A401" s="14"/>
      <c r="B401" s="22"/>
      <c r="C401" s="14"/>
      <c r="D401" s="14"/>
      <c r="E401" s="14"/>
      <c r="F401" s="14"/>
      <c r="G401" s="14"/>
      <c r="H401" s="14"/>
      <c r="I401" s="14"/>
      <c r="J401" s="14"/>
      <c r="K401" s="14"/>
      <c r="L401" s="14"/>
      <c r="M401" s="14"/>
      <c r="N401" s="14"/>
      <c r="O401" s="14"/>
      <c r="P401" s="14"/>
      <c r="Q401" s="14"/>
      <c r="R401" s="23"/>
      <c r="S401" s="24"/>
      <c r="T401" s="25"/>
      <c r="U401" s="14"/>
      <c r="V401" s="14"/>
      <c r="W401" s="24"/>
      <c r="X401" s="14"/>
    </row>
    <row r="402">
      <c r="A402" s="14"/>
      <c r="B402" s="22"/>
      <c r="C402" s="14"/>
      <c r="D402" s="14"/>
      <c r="E402" s="14"/>
      <c r="F402" s="14"/>
      <c r="G402" s="14"/>
      <c r="H402" s="14"/>
      <c r="I402" s="14"/>
      <c r="J402" s="14"/>
      <c r="K402" s="14"/>
      <c r="L402" s="14"/>
      <c r="M402" s="14"/>
      <c r="N402" s="14"/>
      <c r="O402" s="14"/>
      <c r="P402" s="14"/>
      <c r="Q402" s="14"/>
      <c r="R402" s="23"/>
      <c r="S402" s="24"/>
      <c r="T402" s="25"/>
      <c r="U402" s="14"/>
      <c r="V402" s="14"/>
      <c r="W402" s="24"/>
      <c r="X402" s="14"/>
    </row>
    <row r="403">
      <c r="A403" s="14"/>
      <c r="B403" s="22"/>
      <c r="C403" s="14"/>
      <c r="D403" s="14"/>
      <c r="E403" s="14"/>
      <c r="F403" s="14"/>
      <c r="G403" s="14"/>
      <c r="H403" s="14"/>
      <c r="I403" s="14"/>
      <c r="J403" s="14"/>
      <c r="K403" s="14"/>
      <c r="L403" s="14"/>
      <c r="M403" s="14"/>
      <c r="N403" s="14"/>
      <c r="O403" s="14"/>
      <c r="P403" s="14"/>
      <c r="Q403" s="14"/>
      <c r="R403" s="23"/>
      <c r="S403" s="24"/>
      <c r="T403" s="25"/>
      <c r="U403" s="14"/>
      <c r="V403" s="14"/>
      <c r="W403" s="24"/>
      <c r="X403" s="14"/>
    </row>
    <row r="404">
      <c r="A404" s="14"/>
      <c r="B404" s="22"/>
      <c r="C404" s="14"/>
      <c r="D404" s="14"/>
      <c r="E404" s="14"/>
      <c r="F404" s="14"/>
      <c r="G404" s="14"/>
      <c r="H404" s="14"/>
      <c r="I404" s="14"/>
      <c r="J404" s="14"/>
      <c r="K404" s="14"/>
      <c r="L404" s="14"/>
      <c r="M404" s="14"/>
      <c r="N404" s="14"/>
      <c r="O404" s="14"/>
      <c r="P404" s="14"/>
      <c r="Q404" s="14"/>
      <c r="R404" s="23"/>
      <c r="S404" s="24"/>
      <c r="T404" s="25"/>
      <c r="U404" s="14"/>
      <c r="V404" s="14"/>
      <c r="W404" s="24"/>
      <c r="X404" s="14"/>
    </row>
    <row r="405">
      <c r="A405" s="14"/>
      <c r="B405" s="22"/>
      <c r="C405" s="14"/>
      <c r="D405" s="14"/>
      <c r="E405" s="14"/>
      <c r="F405" s="14"/>
      <c r="G405" s="14"/>
      <c r="H405" s="14"/>
      <c r="I405" s="14"/>
      <c r="J405" s="14"/>
      <c r="K405" s="14"/>
      <c r="L405" s="14"/>
      <c r="M405" s="14"/>
      <c r="N405" s="14"/>
      <c r="O405" s="14"/>
      <c r="P405" s="14"/>
      <c r="Q405" s="14"/>
      <c r="R405" s="23"/>
      <c r="S405" s="24"/>
      <c r="T405" s="25"/>
      <c r="U405" s="14"/>
      <c r="V405" s="14"/>
      <c r="W405" s="24"/>
      <c r="X405" s="14"/>
    </row>
    <row r="406">
      <c r="A406" s="14"/>
      <c r="B406" s="22"/>
      <c r="C406" s="14"/>
      <c r="D406" s="14"/>
      <c r="E406" s="14"/>
      <c r="F406" s="14"/>
      <c r="G406" s="14"/>
      <c r="H406" s="14"/>
      <c r="I406" s="14"/>
      <c r="J406" s="14"/>
      <c r="K406" s="14"/>
      <c r="L406" s="14"/>
      <c r="M406" s="14"/>
      <c r="N406" s="14"/>
      <c r="O406" s="14"/>
      <c r="P406" s="14"/>
      <c r="Q406" s="14"/>
      <c r="R406" s="23"/>
      <c r="S406" s="24"/>
      <c r="T406" s="25"/>
      <c r="U406" s="14"/>
      <c r="V406" s="14"/>
      <c r="W406" s="24"/>
      <c r="X406" s="14"/>
    </row>
    <row r="407">
      <c r="A407" s="14"/>
      <c r="B407" s="22"/>
      <c r="C407" s="14"/>
      <c r="D407" s="14"/>
      <c r="E407" s="14"/>
      <c r="F407" s="14"/>
      <c r="G407" s="14"/>
      <c r="H407" s="14"/>
      <c r="I407" s="14"/>
      <c r="J407" s="14"/>
      <c r="K407" s="14"/>
      <c r="L407" s="14"/>
      <c r="M407" s="14"/>
      <c r="N407" s="14"/>
      <c r="O407" s="14"/>
      <c r="P407" s="14"/>
      <c r="Q407" s="14"/>
      <c r="R407" s="23"/>
      <c r="S407" s="24"/>
      <c r="T407" s="25"/>
      <c r="U407" s="14"/>
      <c r="V407" s="14"/>
      <c r="W407" s="24"/>
      <c r="X407" s="14"/>
    </row>
    <row r="408">
      <c r="A408" s="14"/>
      <c r="B408" s="22"/>
      <c r="C408" s="14"/>
      <c r="D408" s="14"/>
      <c r="E408" s="14"/>
      <c r="F408" s="14"/>
      <c r="G408" s="14"/>
      <c r="H408" s="14"/>
      <c r="I408" s="14"/>
      <c r="J408" s="14"/>
      <c r="K408" s="14"/>
      <c r="L408" s="14"/>
      <c r="M408" s="14"/>
      <c r="N408" s="14"/>
      <c r="O408" s="14"/>
      <c r="P408" s="14"/>
      <c r="Q408" s="14"/>
      <c r="R408" s="23"/>
      <c r="S408" s="24"/>
      <c r="T408" s="25"/>
      <c r="U408" s="14"/>
      <c r="V408" s="14"/>
      <c r="W408" s="24"/>
      <c r="X408" s="14"/>
    </row>
    <row r="409">
      <c r="A409" s="14"/>
      <c r="B409" s="22"/>
      <c r="C409" s="14"/>
      <c r="D409" s="14"/>
      <c r="E409" s="14"/>
      <c r="F409" s="14"/>
      <c r="G409" s="14"/>
      <c r="H409" s="14"/>
      <c r="I409" s="14"/>
      <c r="J409" s="14"/>
      <c r="K409" s="14"/>
      <c r="L409" s="14"/>
      <c r="M409" s="14"/>
      <c r="N409" s="14"/>
      <c r="O409" s="14"/>
      <c r="P409" s="14"/>
      <c r="Q409" s="14"/>
      <c r="R409" s="23"/>
      <c r="S409" s="24"/>
      <c r="T409" s="25"/>
      <c r="U409" s="14"/>
      <c r="V409" s="14"/>
      <c r="W409" s="24"/>
      <c r="X409" s="14"/>
    </row>
    <row r="410">
      <c r="A410" s="14"/>
      <c r="B410" s="22"/>
      <c r="C410" s="14"/>
      <c r="D410" s="14"/>
      <c r="E410" s="14"/>
      <c r="F410" s="14"/>
      <c r="G410" s="14"/>
      <c r="H410" s="14"/>
      <c r="I410" s="14"/>
      <c r="J410" s="14"/>
      <c r="K410" s="14"/>
      <c r="L410" s="14"/>
      <c r="M410" s="14"/>
      <c r="N410" s="14"/>
      <c r="O410" s="14"/>
      <c r="P410" s="14"/>
      <c r="Q410" s="14"/>
      <c r="R410" s="23"/>
      <c r="S410" s="24"/>
      <c r="T410" s="25"/>
      <c r="U410" s="14"/>
      <c r="V410" s="14"/>
      <c r="W410" s="24"/>
      <c r="X410" s="14"/>
    </row>
    <row r="411">
      <c r="A411" s="14"/>
      <c r="B411" s="22"/>
      <c r="C411" s="14"/>
      <c r="D411" s="14"/>
      <c r="E411" s="14"/>
      <c r="F411" s="14"/>
      <c r="G411" s="14"/>
      <c r="H411" s="14"/>
      <c r="I411" s="14"/>
      <c r="J411" s="14"/>
      <c r="K411" s="14"/>
      <c r="L411" s="14"/>
      <c r="M411" s="14"/>
      <c r="N411" s="14"/>
      <c r="O411" s="14"/>
      <c r="P411" s="14"/>
      <c r="Q411" s="14"/>
      <c r="R411" s="23"/>
      <c r="S411" s="24"/>
      <c r="T411" s="25"/>
      <c r="U411" s="14"/>
      <c r="V411" s="14"/>
      <c r="W411" s="24"/>
      <c r="X411" s="14"/>
    </row>
    <row r="412">
      <c r="A412" s="14"/>
      <c r="B412" s="22"/>
      <c r="C412" s="14"/>
      <c r="D412" s="14"/>
      <c r="E412" s="14"/>
      <c r="F412" s="14"/>
      <c r="G412" s="14"/>
      <c r="H412" s="14"/>
      <c r="I412" s="14"/>
      <c r="J412" s="14"/>
      <c r="K412" s="14"/>
      <c r="L412" s="14"/>
      <c r="M412" s="14"/>
      <c r="N412" s="14"/>
      <c r="O412" s="14"/>
      <c r="P412" s="14"/>
      <c r="Q412" s="14"/>
      <c r="R412" s="23"/>
      <c r="S412" s="24"/>
      <c r="T412" s="25"/>
      <c r="U412" s="14"/>
      <c r="V412" s="14"/>
      <c r="W412" s="24"/>
      <c r="X412" s="14"/>
    </row>
    <row r="413">
      <c r="A413" s="14"/>
      <c r="B413" s="22"/>
      <c r="C413" s="14"/>
      <c r="D413" s="14"/>
      <c r="E413" s="14"/>
      <c r="F413" s="14"/>
      <c r="G413" s="14"/>
      <c r="H413" s="14"/>
      <c r="I413" s="14"/>
      <c r="J413" s="14"/>
      <c r="K413" s="14"/>
      <c r="L413" s="14"/>
      <c r="M413" s="14"/>
      <c r="N413" s="14"/>
      <c r="O413" s="14"/>
      <c r="P413" s="14"/>
      <c r="Q413" s="14"/>
      <c r="R413" s="23"/>
      <c r="S413" s="24"/>
      <c r="T413" s="25"/>
      <c r="U413" s="14"/>
      <c r="V413" s="14"/>
      <c r="W413" s="24"/>
      <c r="X413" s="14"/>
    </row>
    <row r="414">
      <c r="A414" s="14"/>
      <c r="B414" s="22"/>
      <c r="C414" s="14"/>
      <c r="D414" s="14"/>
      <c r="E414" s="14"/>
      <c r="F414" s="14"/>
      <c r="G414" s="14"/>
      <c r="H414" s="14"/>
      <c r="I414" s="14"/>
      <c r="J414" s="14"/>
      <c r="K414" s="14"/>
      <c r="L414" s="14"/>
      <c r="M414" s="14"/>
      <c r="N414" s="14"/>
      <c r="O414" s="14"/>
      <c r="P414" s="14"/>
      <c r="Q414" s="14"/>
      <c r="R414" s="23"/>
      <c r="S414" s="24"/>
      <c r="T414" s="25"/>
      <c r="U414" s="14"/>
      <c r="V414" s="14"/>
      <c r="W414" s="24"/>
      <c r="X414" s="14"/>
    </row>
    <row r="415">
      <c r="A415" s="14"/>
      <c r="B415" s="22"/>
      <c r="C415" s="14"/>
      <c r="D415" s="14"/>
      <c r="E415" s="14"/>
      <c r="F415" s="14"/>
      <c r="G415" s="14"/>
      <c r="H415" s="14"/>
      <c r="I415" s="14"/>
      <c r="J415" s="14"/>
      <c r="K415" s="14"/>
      <c r="L415" s="14"/>
      <c r="M415" s="14"/>
      <c r="N415" s="14"/>
      <c r="O415" s="14"/>
      <c r="P415" s="14"/>
      <c r="Q415" s="14"/>
      <c r="R415" s="23"/>
      <c r="S415" s="24"/>
      <c r="T415" s="25"/>
      <c r="U415" s="14"/>
      <c r="V415" s="14"/>
      <c r="W415" s="24"/>
      <c r="X415" s="14"/>
    </row>
    <row r="416">
      <c r="A416" s="14"/>
      <c r="B416" s="22"/>
      <c r="C416" s="14"/>
      <c r="D416" s="14"/>
      <c r="E416" s="14"/>
      <c r="F416" s="14"/>
      <c r="G416" s="14"/>
      <c r="H416" s="14"/>
      <c r="I416" s="14"/>
      <c r="J416" s="14"/>
      <c r="K416" s="14"/>
      <c r="L416" s="14"/>
      <c r="M416" s="14"/>
      <c r="N416" s="14"/>
      <c r="O416" s="14"/>
      <c r="P416" s="14"/>
      <c r="Q416" s="14"/>
      <c r="R416" s="23"/>
      <c r="S416" s="24"/>
      <c r="T416" s="25"/>
      <c r="U416" s="14"/>
      <c r="V416" s="14"/>
      <c r="W416" s="24"/>
      <c r="X416" s="14"/>
    </row>
    <row r="417">
      <c r="A417" s="14"/>
      <c r="B417" s="22"/>
      <c r="C417" s="14"/>
      <c r="D417" s="14"/>
      <c r="E417" s="14"/>
      <c r="F417" s="14"/>
      <c r="G417" s="14"/>
      <c r="H417" s="14"/>
      <c r="I417" s="14"/>
      <c r="J417" s="14"/>
      <c r="K417" s="14"/>
      <c r="L417" s="14"/>
      <c r="M417" s="14"/>
      <c r="N417" s="14"/>
      <c r="O417" s="14"/>
      <c r="P417" s="14"/>
      <c r="Q417" s="14"/>
      <c r="R417" s="23"/>
      <c r="S417" s="24"/>
      <c r="T417" s="25"/>
      <c r="U417" s="14"/>
      <c r="V417" s="14"/>
      <c r="W417" s="24"/>
      <c r="X417" s="14"/>
    </row>
    <row r="418">
      <c r="A418" s="14"/>
      <c r="B418" s="22"/>
      <c r="C418" s="14"/>
      <c r="D418" s="14"/>
      <c r="E418" s="14"/>
      <c r="F418" s="14"/>
      <c r="G418" s="14"/>
      <c r="H418" s="14"/>
      <c r="I418" s="14"/>
      <c r="J418" s="14"/>
      <c r="K418" s="14"/>
      <c r="L418" s="14"/>
      <c r="M418" s="14"/>
      <c r="N418" s="14"/>
      <c r="O418" s="14"/>
      <c r="P418" s="14"/>
      <c r="Q418" s="14"/>
      <c r="R418" s="23"/>
      <c r="S418" s="24"/>
      <c r="T418" s="25"/>
      <c r="U418" s="14"/>
      <c r="V418" s="14"/>
      <c r="W418" s="24"/>
      <c r="X418" s="14"/>
    </row>
    <row r="419">
      <c r="A419" s="14"/>
      <c r="B419" s="22"/>
      <c r="C419" s="14"/>
      <c r="D419" s="14"/>
      <c r="E419" s="14"/>
      <c r="F419" s="14"/>
      <c r="G419" s="14"/>
      <c r="H419" s="14"/>
      <c r="I419" s="14"/>
      <c r="J419" s="14"/>
      <c r="K419" s="14"/>
      <c r="L419" s="14"/>
      <c r="M419" s="14"/>
      <c r="N419" s="14"/>
      <c r="O419" s="14"/>
      <c r="P419" s="14"/>
      <c r="Q419" s="14"/>
      <c r="R419" s="23"/>
      <c r="S419" s="24"/>
      <c r="T419" s="25"/>
      <c r="U419" s="14"/>
      <c r="V419" s="14"/>
      <c r="W419" s="24"/>
      <c r="X419" s="14"/>
    </row>
    <row r="420">
      <c r="A420" s="14"/>
      <c r="B420" s="22"/>
      <c r="C420" s="14"/>
      <c r="D420" s="14"/>
      <c r="E420" s="14"/>
      <c r="F420" s="14"/>
      <c r="G420" s="14"/>
      <c r="H420" s="14"/>
      <c r="I420" s="14"/>
      <c r="J420" s="14"/>
      <c r="K420" s="14"/>
      <c r="L420" s="14"/>
      <c r="M420" s="14"/>
      <c r="N420" s="14"/>
      <c r="O420" s="14"/>
      <c r="P420" s="14"/>
      <c r="Q420" s="14"/>
      <c r="R420" s="23"/>
      <c r="S420" s="24"/>
      <c r="T420" s="25"/>
      <c r="U420" s="14"/>
      <c r="V420" s="14"/>
      <c r="W420" s="24"/>
      <c r="X420" s="14"/>
    </row>
    <row r="421">
      <c r="A421" s="14"/>
      <c r="B421" s="22"/>
      <c r="C421" s="14"/>
      <c r="D421" s="14"/>
      <c r="E421" s="14"/>
      <c r="F421" s="14"/>
      <c r="G421" s="14"/>
      <c r="H421" s="14"/>
      <c r="I421" s="14"/>
      <c r="J421" s="14"/>
      <c r="K421" s="14"/>
      <c r="L421" s="14"/>
      <c r="M421" s="14"/>
      <c r="N421" s="14"/>
      <c r="O421" s="14"/>
      <c r="P421" s="14"/>
      <c r="Q421" s="14"/>
      <c r="R421" s="23"/>
      <c r="S421" s="24"/>
      <c r="T421" s="25"/>
      <c r="U421" s="14"/>
      <c r="V421" s="14"/>
      <c r="W421" s="24"/>
      <c r="X421" s="14"/>
    </row>
    <row r="422">
      <c r="A422" s="14"/>
      <c r="B422" s="22"/>
      <c r="C422" s="14"/>
      <c r="D422" s="14"/>
      <c r="E422" s="14"/>
      <c r="F422" s="14"/>
      <c r="G422" s="14"/>
      <c r="H422" s="14"/>
      <c r="I422" s="14"/>
      <c r="J422" s="14"/>
      <c r="K422" s="14"/>
      <c r="L422" s="14"/>
      <c r="M422" s="14"/>
      <c r="N422" s="14"/>
      <c r="O422" s="14"/>
      <c r="P422" s="14"/>
      <c r="Q422" s="14"/>
      <c r="R422" s="23"/>
      <c r="S422" s="24"/>
      <c r="T422" s="25"/>
      <c r="U422" s="14"/>
      <c r="V422" s="14"/>
      <c r="W422" s="24"/>
      <c r="X422" s="14"/>
    </row>
    <row r="423">
      <c r="A423" s="14"/>
      <c r="B423" s="22"/>
      <c r="C423" s="14"/>
      <c r="D423" s="14"/>
      <c r="E423" s="14"/>
      <c r="F423" s="14"/>
      <c r="G423" s="14"/>
      <c r="H423" s="14"/>
      <c r="I423" s="14"/>
      <c r="J423" s="14"/>
      <c r="K423" s="14"/>
      <c r="L423" s="14"/>
      <c r="M423" s="14"/>
      <c r="N423" s="14"/>
      <c r="O423" s="14"/>
      <c r="P423" s="14"/>
      <c r="Q423" s="14"/>
      <c r="R423" s="23"/>
      <c r="S423" s="24"/>
      <c r="T423" s="25"/>
      <c r="U423" s="14"/>
      <c r="V423" s="14"/>
      <c r="W423" s="24"/>
      <c r="X423" s="14"/>
    </row>
    <row r="424">
      <c r="A424" s="14"/>
      <c r="B424" s="22"/>
      <c r="C424" s="14"/>
      <c r="D424" s="14"/>
      <c r="E424" s="14"/>
      <c r="F424" s="14"/>
      <c r="G424" s="14"/>
      <c r="H424" s="14"/>
      <c r="I424" s="14"/>
      <c r="J424" s="14"/>
      <c r="K424" s="14"/>
      <c r="L424" s="14"/>
      <c r="M424" s="14"/>
      <c r="N424" s="14"/>
      <c r="O424" s="14"/>
      <c r="P424" s="14"/>
      <c r="Q424" s="14"/>
      <c r="R424" s="23"/>
      <c r="S424" s="24"/>
      <c r="T424" s="25"/>
      <c r="U424" s="14"/>
      <c r="V424" s="14"/>
      <c r="W424" s="24"/>
      <c r="X424" s="14"/>
    </row>
    <row r="425">
      <c r="A425" s="14"/>
      <c r="B425" s="22"/>
      <c r="C425" s="14"/>
      <c r="D425" s="14"/>
      <c r="E425" s="14"/>
      <c r="F425" s="14"/>
      <c r="G425" s="14"/>
      <c r="H425" s="14"/>
      <c r="I425" s="14"/>
      <c r="J425" s="14"/>
      <c r="K425" s="14"/>
      <c r="L425" s="14"/>
      <c r="M425" s="14"/>
      <c r="N425" s="14"/>
      <c r="O425" s="14"/>
      <c r="P425" s="14"/>
      <c r="Q425" s="14"/>
      <c r="R425" s="23"/>
      <c r="S425" s="24"/>
      <c r="T425" s="25"/>
      <c r="U425" s="14"/>
      <c r="V425" s="14"/>
      <c r="W425" s="24"/>
      <c r="X425" s="14"/>
    </row>
    <row r="426">
      <c r="A426" s="14"/>
      <c r="B426" s="22"/>
      <c r="C426" s="14"/>
      <c r="D426" s="14"/>
      <c r="E426" s="14"/>
      <c r="F426" s="14"/>
      <c r="G426" s="14"/>
      <c r="H426" s="14"/>
      <c r="I426" s="14"/>
      <c r="J426" s="14"/>
      <c r="K426" s="14"/>
      <c r="L426" s="14"/>
      <c r="M426" s="14"/>
      <c r="N426" s="14"/>
      <c r="O426" s="14"/>
      <c r="P426" s="14"/>
      <c r="Q426" s="14"/>
      <c r="R426" s="23"/>
      <c r="S426" s="24"/>
      <c r="T426" s="25"/>
      <c r="U426" s="14"/>
      <c r="V426" s="14"/>
      <c r="W426" s="24"/>
      <c r="X426" s="14"/>
    </row>
    <row r="427">
      <c r="A427" s="14"/>
      <c r="B427" s="22"/>
      <c r="C427" s="14"/>
      <c r="D427" s="14"/>
      <c r="E427" s="14"/>
      <c r="F427" s="14"/>
      <c r="G427" s="14"/>
      <c r="H427" s="14"/>
      <c r="I427" s="14"/>
      <c r="J427" s="14"/>
      <c r="K427" s="14"/>
      <c r="L427" s="14"/>
      <c r="M427" s="14"/>
      <c r="N427" s="14"/>
      <c r="O427" s="14"/>
      <c r="P427" s="14"/>
      <c r="Q427" s="14"/>
      <c r="R427" s="23"/>
      <c r="S427" s="24"/>
      <c r="T427" s="25"/>
      <c r="U427" s="14"/>
      <c r="V427" s="14"/>
      <c r="W427" s="24"/>
      <c r="X427" s="14"/>
    </row>
    <row r="428">
      <c r="A428" s="14"/>
      <c r="B428" s="22"/>
      <c r="C428" s="14"/>
      <c r="D428" s="14"/>
      <c r="E428" s="14"/>
      <c r="F428" s="14"/>
      <c r="G428" s="14"/>
      <c r="H428" s="14"/>
      <c r="I428" s="14"/>
      <c r="J428" s="14"/>
      <c r="K428" s="14"/>
      <c r="L428" s="14"/>
      <c r="M428" s="14"/>
      <c r="N428" s="14"/>
      <c r="O428" s="14"/>
      <c r="P428" s="14"/>
      <c r="Q428" s="14"/>
      <c r="R428" s="23"/>
      <c r="S428" s="24"/>
      <c r="T428" s="25"/>
      <c r="U428" s="14"/>
      <c r="V428" s="14"/>
      <c r="W428" s="24"/>
      <c r="X428" s="14"/>
    </row>
    <row r="429">
      <c r="A429" s="14"/>
      <c r="B429" s="22"/>
      <c r="C429" s="14"/>
      <c r="D429" s="14"/>
      <c r="E429" s="14"/>
      <c r="F429" s="14"/>
      <c r="G429" s="14"/>
      <c r="H429" s="14"/>
      <c r="I429" s="14"/>
      <c r="J429" s="14"/>
      <c r="K429" s="14"/>
      <c r="L429" s="14"/>
      <c r="M429" s="14"/>
      <c r="N429" s="14"/>
      <c r="O429" s="14"/>
      <c r="P429" s="14"/>
      <c r="Q429" s="14"/>
      <c r="R429" s="23"/>
      <c r="S429" s="24"/>
      <c r="T429" s="25"/>
      <c r="U429" s="14"/>
      <c r="V429" s="14"/>
      <c r="W429" s="24"/>
      <c r="X429" s="14"/>
    </row>
    <row r="430">
      <c r="A430" s="14"/>
      <c r="B430" s="22"/>
      <c r="C430" s="14"/>
      <c r="D430" s="14"/>
      <c r="E430" s="14"/>
      <c r="F430" s="14"/>
      <c r="G430" s="14"/>
      <c r="H430" s="14"/>
      <c r="I430" s="14"/>
      <c r="J430" s="14"/>
      <c r="K430" s="14"/>
      <c r="L430" s="14"/>
      <c r="M430" s="14"/>
      <c r="N430" s="14"/>
      <c r="O430" s="14"/>
      <c r="P430" s="14"/>
      <c r="Q430" s="14"/>
      <c r="R430" s="23"/>
      <c r="S430" s="24"/>
      <c r="T430" s="25"/>
      <c r="U430" s="14"/>
      <c r="V430" s="14"/>
      <c r="W430" s="24"/>
      <c r="X430" s="14"/>
    </row>
    <row r="431">
      <c r="A431" s="14"/>
      <c r="B431" s="22"/>
      <c r="C431" s="14"/>
      <c r="D431" s="14"/>
      <c r="E431" s="14"/>
      <c r="F431" s="14"/>
      <c r="G431" s="14"/>
      <c r="H431" s="14"/>
      <c r="I431" s="14"/>
      <c r="J431" s="14"/>
      <c r="K431" s="14"/>
      <c r="L431" s="14"/>
      <c r="M431" s="14"/>
      <c r="N431" s="14"/>
      <c r="O431" s="14"/>
      <c r="P431" s="14"/>
      <c r="Q431" s="14"/>
      <c r="R431" s="23"/>
      <c r="S431" s="24"/>
      <c r="T431" s="25"/>
      <c r="U431" s="14"/>
      <c r="V431" s="14"/>
      <c r="W431" s="24"/>
      <c r="X431" s="14"/>
    </row>
    <row r="432">
      <c r="A432" s="14"/>
      <c r="B432" s="22"/>
      <c r="C432" s="14"/>
      <c r="D432" s="14"/>
      <c r="E432" s="14"/>
      <c r="F432" s="14"/>
      <c r="G432" s="14"/>
      <c r="H432" s="14"/>
      <c r="I432" s="14"/>
      <c r="J432" s="14"/>
      <c r="K432" s="14"/>
      <c r="L432" s="14"/>
      <c r="M432" s="14"/>
      <c r="N432" s="14"/>
      <c r="O432" s="14"/>
      <c r="P432" s="14"/>
      <c r="Q432" s="14"/>
      <c r="R432" s="23"/>
      <c r="S432" s="24"/>
      <c r="T432" s="25"/>
      <c r="U432" s="14"/>
      <c r="V432" s="14"/>
      <c r="W432" s="24"/>
      <c r="X432" s="14"/>
    </row>
    <row r="433">
      <c r="A433" s="14"/>
      <c r="B433" s="22"/>
      <c r="C433" s="14"/>
      <c r="D433" s="14"/>
      <c r="E433" s="14"/>
      <c r="F433" s="14"/>
      <c r="G433" s="14"/>
      <c r="H433" s="14"/>
      <c r="I433" s="14"/>
      <c r="J433" s="14"/>
      <c r="K433" s="14"/>
      <c r="L433" s="14"/>
      <c r="M433" s="14"/>
      <c r="N433" s="14"/>
      <c r="O433" s="14"/>
      <c r="P433" s="14"/>
      <c r="Q433" s="14"/>
      <c r="R433" s="23"/>
      <c r="S433" s="24"/>
      <c r="T433" s="25"/>
      <c r="U433" s="14"/>
      <c r="V433" s="14"/>
      <c r="W433" s="24"/>
      <c r="X433" s="14"/>
    </row>
    <row r="434">
      <c r="A434" s="14"/>
      <c r="B434" s="22"/>
      <c r="C434" s="14"/>
      <c r="D434" s="14"/>
      <c r="E434" s="14"/>
      <c r="F434" s="14"/>
      <c r="G434" s="14"/>
      <c r="H434" s="14"/>
      <c r="I434" s="14"/>
      <c r="J434" s="14"/>
      <c r="K434" s="14"/>
      <c r="L434" s="14"/>
      <c r="M434" s="14"/>
      <c r="N434" s="14"/>
      <c r="O434" s="14"/>
      <c r="P434" s="14"/>
      <c r="Q434" s="14"/>
      <c r="R434" s="23"/>
      <c r="S434" s="24"/>
      <c r="T434" s="25"/>
      <c r="U434" s="14"/>
      <c r="V434" s="14"/>
      <c r="W434" s="24"/>
      <c r="X434" s="14"/>
    </row>
    <row r="435">
      <c r="A435" s="14"/>
      <c r="B435" s="22"/>
      <c r="C435" s="14"/>
      <c r="D435" s="14"/>
      <c r="E435" s="14"/>
      <c r="F435" s="14"/>
      <c r="G435" s="14"/>
      <c r="H435" s="14"/>
      <c r="I435" s="14"/>
      <c r="J435" s="14"/>
      <c r="K435" s="14"/>
      <c r="L435" s="14"/>
      <c r="M435" s="14"/>
      <c r="N435" s="14"/>
      <c r="O435" s="14"/>
      <c r="P435" s="14"/>
      <c r="Q435" s="14"/>
      <c r="R435" s="23"/>
      <c r="S435" s="24"/>
      <c r="T435" s="25"/>
      <c r="U435" s="14"/>
      <c r="V435" s="14"/>
      <c r="W435" s="24"/>
      <c r="X435" s="14"/>
    </row>
    <row r="436">
      <c r="A436" s="14"/>
      <c r="B436" s="22"/>
      <c r="C436" s="14"/>
      <c r="D436" s="14"/>
      <c r="E436" s="14"/>
      <c r="F436" s="14"/>
      <c r="G436" s="14"/>
      <c r="H436" s="14"/>
      <c r="I436" s="14"/>
      <c r="J436" s="14"/>
      <c r="K436" s="14"/>
      <c r="L436" s="14"/>
      <c r="M436" s="14"/>
      <c r="N436" s="14"/>
      <c r="O436" s="14"/>
      <c r="P436" s="14"/>
      <c r="Q436" s="14"/>
      <c r="R436" s="23"/>
      <c r="S436" s="24"/>
      <c r="T436" s="25"/>
      <c r="U436" s="14"/>
      <c r="V436" s="14"/>
      <c r="W436" s="24"/>
      <c r="X436" s="14"/>
    </row>
    <row r="437">
      <c r="A437" s="14"/>
      <c r="B437" s="22"/>
      <c r="C437" s="14"/>
      <c r="D437" s="14"/>
      <c r="E437" s="14"/>
      <c r="F437" s="14"/>
      <c r="G437" s="14"/>
      <c r="H437" s="14"/>
      <c r="I437" s="14"/>
      <c r="J437" s="14"/>
      <c r="K437" s="14"/>
      <c r="L437" s="14"/>
      <c r="M437" s="14"/>
      <c r="N437" s="14"/>
      <c r="O437" s="14"/>
      <c r="P437" s="14"/>
      <c r="Q437" s="14"/>
      <c r="R437" s="23"/>
      <c r="S437" s="24"/>
      <c r="T437" s="25"/>
      <c r="U437" s="14"/>
      <c r="V437" s="14"/>
      <c r="W437" s="24"/>
      <c r="X437" s="14"/>
    </row>
    <row r="438">
      <c r="A438" s="14"/>
      <c r="B438" s="22"/>
      <c r="C438" s="14"/>
      <c r="D438" s="14"/>
      <c r="E438" s="14"/>
      <c r="F438" s="14"/>
      <c r="G438" s="14"/>
      <c r="H438" s="14"/>
      <c r="I438" s="14"/>
      <c r="J438" s="14"/>
      <c r="K438" s="14"/>
      <c r="L438" s="14"/>
      <c r="M438" s="14"/>
      <c r="N438" s="14"/>
      <c r="O438" s="14"/>
      <c r="P438" s="14"/>
      <c r="Q438" s="14"/>
      <c r="R438" s="23"/>
      <c r="S438" s="24"/>
      <c r="T438" s="25"/>
      <c r="U438" s="14"/>
      <c r="V438" s="14"/>
      <c r="W438" s="24"/>
      <c r="X438" s="14"/>
    </row>
    <row r="439">
      <c r="A439" s="14"/>
      <c r="B439" s="22"/>
      <c r="C439" s="14"/>
      <c r="D439" s="14"/>
      <c r="E439" s="14"/>
      <c r="F439" s="14"/>
      <c r="G439" s="14"/>
      <c r="H439" s="14"/>
      <c r="I439" s="14"/>
      <c r="J439" s="14"/>
      <c r="K439" s="14"/>
      <c r="L439" s="14"/>
      <c r="M439" s="14"/>
      <c r="N439" s="14"/>
      <c r="O439" s="14"/>
      <c r="P439" s="14"/>
      <c r="Q439" s="14"/>
      <c r="R439" s="23"/>
      <c r="S439" s="24"/>
      <c r="T439" s="25"/>
      <c r="U439" s="14"/>
      <c r="V439" s="14"/>
      <c r="W439" s="24"/>
      <c r="X439" s="14"/>
    </row>
    <row r="440">
      <c r="A440" s="14"/>
      <c r="B440" s="22"/>
      <c r="C440" s="14"/>
      <c r="D440" s="14"/>
      <c r="E440" s="14"/>
      <c r="F440" s="14"/>
      <c r="G440" s="14"/>
      <c r="H440" s="14"/>
      <c r="I440" s="14"/>
      <c r="J440" s="14"/>
      <c r="K440" s="14"/>
      <c r="L440" s="14"/>
      <c r="M440" s="14"/>
      <c r="N440" s="14"/>
      <c r="O440" s="14"/>
      <c r="P440" s="14"/>
      <c r="Q440" s="14"/>
      <c r="R440" s="23"/>
      <c r="S440" s="24"/>
      <c r="T440" s="25"/>
      <c r="U440" s="14"/>
      <c r="V440" s="14"/>
      <c r="W440" s="24"/>
      <c r="X440" s="14"/>
    </row>
    <row r="441">
      <c r="A441" s="14"/>
      <c r="B441" s="22"/>
      <c r="C441" s="14"/>
      <c r="D441" s="14"/>
      <c r="E441" s="14"/>
      <c r="F441" s="14"/>
      <c r="G441" s="14"/>
      <c r="H441" s="14"/>
      <c r="I441" s="14"/>
      <c r="J441" s="14"/>
      <c r="K441" s="14"/>
      <c r="L441" s="14"/>
      <c r="M441" s="14"/>
      <c r="N441" s="14"/>
      <c r="O441" s="14"/>
      <c r="P441" s="14"/>
      <c r="Q441" s="14"/>
      <c r="R441" s="23"/>
      <c r="S441" s="24"/>
      <c r="T441" s="25"/>
      <c r="U441" s="14"/>
      <c r="V441" s="14"/>
      <c r="W441" s="24"/>
      <c r="X441" s="14"/>
    </row>
    <row r="442">
      <c r="A442" s="14"/>
      <c r="B442" s="22"/>
      <c r="C442" s="14"/>
      <c r="D442" s="14"/>
      <c r="E442" s="14"/>
      <c r="F442" s="14"/>
      <c r="G442" s="14"/>
      <c r="H442" s="14"/>
      <c r="I442" s="14"/>
      <c r="J442" s="14"/>
      <c r="K442" s="14"/>
      <c r="L442" s="14"/>
      <c r="M442" s="14"/>
      <c r="N442" s="14"/>
      <c r="O442" s="14"/>
      <c r="P442" s="14"/>
      <c r="Q442" s="14"/>
      <c r="R442" s="23"/>
      <c r="S442" s="24"/>
      <c r="T442" s="25"/>
      <c r="U442" s="14"/>
      <c r="V442" s="14"/>
      <c r="W442" s="24"/>
      <c r="X442" s="14"/>
    </row>
    <row r="443">
      <c r="A443" s="14"/>
      <c r="B443" s="22"/>
      <c r="C443" s="14"/>
      <c r="D443" s="14"/>
      <c r="E443" s="14"/>
      <c r="F443" s="14"/>
      <c r="G443" s="14"/>
      <c r="H443" s="14"/>
      <c r="I443" s="14"/>
      <c r="J443" s="14"/>
      <c r="K443" s="14"/>
      <c r="L443" s="14"/>
      <c r="M443" s="14"/>
      <c r="N443" s="14"/>
      <c r="O443" s="14"/>
      <c r="P443" s="14"/>
      <c r="Q443" s="14"/>
      <c r="R443" s="23"/>
      <c r="S443" s="24"/>
      <c r="T443" s="25"/>
      <c r="U443" s="14"/>
      <c r="V443" s="14"/>
      <c r="W443" s="24"/>
      <c r="X443" s="14"/>
    </row>
    <row r="444">
      <c r="A444" s="14"/>
      <c r="B444" s="22"/>
      <c r="C444" s="14"/>
      <c r="D444" s="14"/>
      <c r="E444" s="14"/>
      <c r="F444" s="14"/>
      <c r="G444" s="14"/>
      <c r="H444" s="14"/>
      <c r="I444" s="14"/>
      <c r="J444" s="14"/>
      <c r="K444" s="14"/>
      <c r="L444" s="14"/>
      <c r="M444" s="14"/>
      <c r="N444" s="14"/>
      <c r="O444" s="14"/>
      <c r="P444" s="14"/>
      <c r="Q444" s="14"/>
      <c r="R444" s="23"/>
      <c r="S444" s="24"/>
      <c r="T444" s="25"/>
      <c r="U444" s="14"/>
      <c r="V444" s="14"/>
      <c r="W444" s="24"/>
      <c r="X444" s="14"/>
    </row>
    <row r="445">
      <c r="A445" s="14"/>
      <c r="B445" s="22"/>
      <c r="C445" s="14"/>
      <c r="D445" s="14"/>
      <c r="E445" s="14"/>
      <c r="F445" s="14"/>
      <c r="G445" s="14"/>
      <c r="H445" s="14"/>
      <c r="I445" s="14"/>
      <c r="J445" s="14"/>
      <c r="K445" s="14"/>
      <c r="L445" s="14"/>
      <c r="M445" s="14"/>
      <c r="N445" s="14"/>
      <c r="O445" s="14"/>
      <c r="P445" s="14"/>
      <c r="Q445" s="14"/>
      <c r="R445" s="23"/>
      <c r="S445" s="24"/>
      <c r="T445" s="25"/>
      <c r="U445" s="14"/>
      <c r="V445" s="14"/>
      <c r="W445" s="24"/>
      <c r="X445" s="14"/>
    </row>
    <row r="446">
      <c r="A446" s="14"/>
      <c r="B446" s="22"/>
      <c r="C446" s="14"/>
      <c r="D446" s="14"/>
      <c r="E446" s="14"/>
      <c r="F446" s="14"/>
      <c r="G446" s="14"/>
      <c r="H446" s="14"/>
      <c r="I446" s="14"/>
      <c r="J446" s="14"/>
      <c r="K446" s="14"/>
      <c r="L446" s="14"/>
      <c r="M446" s="14"/>
      <c r="N446" s="14"/>
      <c r="O446" s="14"/>
      <c r="P446" s="14"/>
      <c r="Q446" s="14"/>
      <c r="R446" s="23"/>
      <c r="S446" s="24"/>
      <c r="T446" s="25"/>
      <c r="U446" s="14"/>
      <c r="V446" s="14"/>
      <c r="W446" s="24"/>
      <c r="X446" s="14"/>
    </row>
    <row r="447">
      <c r="A447" s="14"/>
      <c r="B447" s="22"/>
      <c r="C447" s="14"/>
      <c r="D447" s="14"/>
      <c r="E447" s="14"/>
      <c r="F447" s="14"/>
      <c r="G447" s="14"/>
      <c r="H447" s="14"/>
      <c r="I447" s="14"/>
      <c r="J447" s="14"/>
      <c r="K447" s="14"/>
      <c r="L447" s="14"/>
      <c r="M447" s="14"/>
      <c r="N447" s="14"/>
      <c r="O447" s="14"/>
      <c r="P447" s="14"/>
      <c r="Q447" s="14"/>
      <c r="R447" s="23"/>
      <c r="S447" s="24"/>
      <c r="T447" s="25"/>
      <c r="U447" s="14"/>
      <c r="V447" s="14"/>
      <c r="W447" s="24"/>
      <c r="X447" s="14"/>
    </row>
    <row r="448">
      <c r="A448" s="14"/>
      <c r="B448" s="22"/>
      <c r="C448" s="14"/>
      <c r="D448" s="14"/>
      <c r="E448" s="14"/>
      <c r="F448" s="14"/>
      <c r="G448" s="14"/>
      <c r="H448" s="14"/>
      <c r="I448" s="14"/>
      <c r="J448" s="14"/>
      <c r="K448" s="14"/>
      <c r="L448" s="14"/>
      <c r="M448" s="14"/>
      <c r="N448" s="14"/>
      <c r="O448" s="14"/>
      <c r="P448" s="14"/>
      <c r="Q448" s="14"/>
      <c r="R448" s="23"/>
      <c r="S448" s="24"/>
      <c r="T448" s="25"/>
      <c r="U448" s="14"/>
      <c r="V448" s="14"/>
      <c r="W448" s="24"/>
      <c r="X448" s="14"/>
    </row>
    <row r="449">
      <c r="A449" s="14"/>
      <c r="B449" s="22"/>
      <c r="C449" s="14"/>
      <c r="D449" s="14"/>
      <c r="E449" s="14"/>
      <c r="F449" s="14"/>
      <c r="G449" s="14"/>
      <c r="H449" s="14"/>
      <c r="I449" s="14"/>
      <c r="J449" s="14"/>
      <c r="K449" s="14"/>
      <c r="L449" s="14"/>
      <c r="M449" s="14"/>
      <c r="N449" s="14"/>
      <c r="O449" s="14"/>
      <c r="P449" s="14"/>
      <c r="Q449" s="14"/>
      <c r="R449" s="23"/>
      <c r="S449" s="24"/>
      <c r="T449" s="25"/>
      <c r="U449" s="14"/>
      <c r="V449" s="14"/>
      <c r="W449" s="24"/>
      <c r="X449" s="14"/>
    </row>
    <row r="450">
      <c r="A450" s="14"/>
      <c r="B450" s="22"/>
      <c r="C450" s="14"/>
      <c r="D450" s="14"/>
      <c r="E450" s="14"/>
      <c r="F450" s="14"/>
      <c r="G450" s="14"/>
      <c r="H450" s="14"/>
      <c r="I450" s="14"/>
      <c r="J450" s="14"/>
      <c r="K450" s="14"/>
      <c r="L450" s="14"/>
      <c r="M450" s="14"/>
      <c r="N450" s="14"/>
      <c r="O450" s="14"/>
      <c r="P450" s="14"/>
      <c r="Q450" s="14"/>
      <c r="R450" s="23"/>
      <c r="S450" s="24"/>
      <c r="T450" s="25"/>
      <c r="U450" s="14"/>
      <c r="V450" s="14"/>
      <c r="W450" s="24"/>
      <c r="X450" s="14"/>
    </row>
    <row r="451">
      <c r="A451" s="14"/>
      <c r="B451" s="22"/>
      <c r="C451" s="14"/>
      <c r="D451" s="14"/>
      <c r="E451" s="14"/>
      <c r="F451" s="14"/>
      <c r="G451" s="14"/>
      <c r="H451" s="14"/>
      <c r="I451" s="14"/>
      <c r="J451" s="14"/>
      <c r="K451" s="14"/>
      <c r="L451" s="14"/>
      <c r="M451" s="14"/>
      <c r="N451" s="14"/>
      <c r="O451" s="14"/>
      <c r="P451" s="14"/>
      <c r="Q451" s="14"/>
      <c r="R451" s="23"/>
      <c r="S451" s="24"/>
      <c r="T451" s="25"/>
      <c r="U451" s="14"/>
      <c r="V451" s="14"/>
      <c r="W451" s="24"/>
      <c r="X451" s="14"/>
    </row>
    <row r="452">
      <c r="A452" s="14"/>
      <c r="B452" s="22"/>
      <c r="C452" s="14"/>
      <c r="D452" s="14"/>
      <c r="E452" s="14"/>
      <c r="F452" s="14"/>
      <c r="G452" s="14"/>
      <c r="H452" s="14"/>
      <c r="I452" s="14"/>
      <c r="J452" s="14"/>
      <c r="K452" s="14"/>
      <c r="L452" s="14"/>
      <c r="M452" s="14"/>
      <c r="N452" s="14"/>
      <c r="O452" s="14"/>
      <c r="P452" s="14"/>
      <c r="Q452" s="14"/>
      <c r="R452" s="23"/>
      <c r="S452" s="24"/>
      <c r="T452" s="25"/>
      <c r="U452" s="14"/>
      <c r="V452" s="14"/>
      <c r="W452" s="24"/>
      <c r="X452" s="14"/>
    </row>
    <row r="453">
      <c r="A453" s="14"/>
      <c r="B453" s="22"/>
      <c r="C453" s="14"/>
      <c r="D453" s="14"/>
      <c r="E453" s="14"/>
      <c r="F453" s="14"/>
      <c r="G453" s="14"/>
      <c r="H453" s="14"/>
      <c r="I453" s="14"/>
      <c r="J453" s="14"/>
      <c r="K453" s="14"/>
      <c r="L453" s="14"/>
      <c r="M453" s="14"/>
      <c r="N453" s="14"/>
      <c r="O453" s="14"/>
      <c r="P453" s="14"/>
      <c r="Q453" s="14"/>
      <c r="R453" s="23"/>
      <c r="S453" s="24"/>
      <c r="T453" s="25"/>
      <c r="U453" s="14"/>
      <c r="V453" s="14"/>
      <c r="W453" s="24"/>
      <c r="X453" s="14"/>
    </row>
    <row r="454">
      <c r="A454" s="14"/>
      <c r="B454" s="22"/>
      <c r="C454" s="14"/>
      <c r="D454" s="14"/>
      <c r="E454" s="14"/>
      <c r="F454" s="14"/>
      <c r="G454" s="14"/>
      <c r="H454" s="14"/>
      <c r="I454" s="14"/>
      <c r="J454" s="14"/>
      <c r="K454" s="14"/>
      <c r="L454" s="14"/>
      <c r="M454" s="14"/>
      <c r="N454" s="14"/>
      <c r="O454" s="14"/>
      <c r="P454" s="14"/>
      <c r="Q454" s="14"/>
      <c r="R454" s="23"/>
      <c r="S454" s="24"/>
      <c r="T454" s="25"/>
      <c r="U454" s="14"/>
      <c r="V454" s="14"/>
      <c r="W454" s="24"/>
      <c r="X454" s="14"/>
    </row>
    <row r="455">
      <c r="A455" s="14"/>
      <c r="B455" s="22"/>
      <c r="C455" s="14"/>
      <c r="D455" s="14"/>
      <c r="E455" s="14"/>
      <c r="F455" s="14"/>
      <c r="G455" s="14"/>
      <c r="H455" s="14"/>
      <c r="I455" s="14"/>
      <c r="J455" s="14"/>
      <c r="K455" s="14"/>
      <c r="L455" s="14"/>
      <c r="M455" s="14"/>
      <c r="N455" s="14"/>
      <c r="O455" s="14"/>
      <c r="P455" s="14"/>
      <c r="Q455" s="14"/>
      <c r="R455" s="23"/>
      <c r="S455" s="24"/>
      <c r="T455" s="25"/>
      <c r="U455" s="14"/>
      <c r="V455" s="14"/>
      <c r="W455" s="24"/>
      <c r="X455" s="14"/>
    </row>
    <row r="456">
      <c r="A456" s="14"/>
      <c r="B456" s="22"/>
      <c r="C456" s="14"/>
      <c r="D456" s="14"/>
      <c r="E456" s="14"/>
      <c r="F456" s="14"/>
      <c r="G456" s="14"/>
      <c r="H456" s="14"/>
      <c r="I456" s="14"/>
      <c r="J456" s="14"/>
      <c r="K456" s="14"/>
      <c r="L456" s="14"/>
      <c r="M456" s="14"/>
      <c r="N456" s="14"/>
      <c r="O456" s="14"/>
      <c r="P456" s="14"/>
      <c r="Q456" s="14"/>
      <c r="R456" s="23"/>
      <c r="S456" s="24"/>
      <c r="T456" s="25"/>
      <c r="U456" s="14"/>
      <c r="V456" s="14"/>
      <c r="W456" s="24"/>
      <c r="X456" s="14"/>
    </row>
    <row r="457">
      <c r="A457" s="14"/>
      <c r="B457" s="22"/>
      <c r="C457" s="14"/>
      <c r="D457" s="14"/>
      <c r="E457" s="14"/>
      <c r="F457" s="14"/>
      <c r="G457" s="14"/>
      <c r="H457" s="14"/>
      <c r="I457" s="14"/>
      <c r="J457" s="14"/>
      <c r="K457" s="14"/>
      <c r="L457" s="14"/>
      <c r="M457" s="14"/>
      <c r="N457" s="14"/>
      <c r="O457" s="14"/>
      <c r="P457" s="14"/>
      <c r="Q457" s="14"/>
      <c r="R457" s="23"/>
      <c r="S457" s="24"/>
      <c r="T457" s="25"/>
      <c r="U457" s="14"/>
      <c r="V457" s="14"/>
      <c r="W457" s="24"/>
      <c r="X457" s="14"/>
    </row>
    <row r="458">
      <c r="A458" s="14"/>
      <c r="B458" s="22"/>
      <c r="C458" s="14"/>
      <c r="D458" s="14"/>
      <c r="E458" s="14"/>
      <c r="F458" s="14"/>
      <c r="G458" s="14"/>
      <c r="H458" s="14"/>
      <c r="I458" s="14"/>
      <c r="J458" s="14"/>
      <c r="K458" s="14"/>
      <c r="L458" s="14"/>
      <c r="M458" s="14"/>
      <c r="N458" s="14"/>
      <c r="O458" s="14"/>
      <c r="P458" s="14"/>
      <c r="Q458" s="14"/>
      <c r="R458" s="23"/>
      <c r="S458" s="24"/>
      <c r="T458" s="25"/>
      <c r="U458" s="14"/>
      <c r="V458" s="14"/>
      <c r="W458" s="24"/>
      <c r="X458" s="14"/>
    </row>
    <row r="459">
      <c r="A459" s="14"/>
      <c r="B459" s="22"/>
      <c r="C459" s="14"/>
      <c r="D459" s="14"/>
      <c r="E459" s="14"/>
      <c r="F459" s="14"/>
      <c r="G459" s="14"/>
      <c r="H459" s="14"/>
      <c r="I459" s="14"/>
      <c r="J459" s="14"/>
      <c r="K459" s="14"/>
      <c r="L459" s="14"/>
      <c r="M459" s="14"/>
      <c r="N459" s="14"/>
      <c r="O459" s="14"/>
      <c r="P459" s="14"/>
      <c r="Q459" s="14"/>
      <c r="R459" s="23"/>
      <c r="S459" s="24"/>
      <c r="T459" s="25"/>
      <c r="U459" s="14"/>
      <c r="V459" s="14"/>
      <c r="W459" s="24"/>
      <c r="X459" s="14"/>
    </row>
    <row r="460">
      <c r="A460" s="14"/>
      <c r="B460" s="22"/>
      <c r="C460" s="14"/>
      <c r="D460" s="14"/>
      <c r="E460" s="14"/>
      <c r="F460" s="14"/>
      <c r="G460" s="14"/>
      <c r="H460" s="14"/>
      <c r="I460" s="14"/>
      <c r="J460" s="14"/>
      <c r="K460" s="14"/>
      <c r="L460" s="14"/>
      <c r="M460" s="14"/>
      <c r="N460" s="14"/>
      <c r="O460" s="14"/>
      <c r="P460" s="14"/>
      <c r="Q460" s="14"/>
      <c r="R460" s="23"/>
      <c r="S460" s="24"/>
      <c r="T460" s="25"/>
      <c r="U460" s="14"/>
      <c r="V460" s="14"/>
      <c r="W460" s="24"/>
      <c r="X460" s="14"/>
    </row>
    <row r="461">
      <c r="A461" s="14"/>
      <c r="B461" s="22"/>
      <c r="C461" s="14"/>
      <c r="D461" s="14"/>
      <c r="E461" s="14"/>
      <c r="F461" s="14"/>
      <c r="G461" s="14"/>
      <c r="H461" s="14"/>
      <c r="I461" s="14"/>
      <c r="J461" s="14"/>
      <c r="K461" s="14"/>
      <c r="L461" s="14"/>
      <c r="M461" s="14"/>
      <c r="N461" s="14"/>
      <c r="O461" s="14"/>
      <c r="P461" s="14"/>
      <c r="Q461" s="14"/>
      <c r="R461" s="23"/>
      <c r="S461" s="24"/>
      <c r="T461" s="25"/>
      <c r="U461" s="14"/>
      <c r="V461" s="14"/>
      <c r="W461" s="24"/>
      <c r="X461" s="14"/>
    </row>
    <row r="462">
      <c r="A462" s="14"/>
      <c r="B462" s="22"/>
      <c r="C462" s="14"/>
      <c r="D462" s="14"/>
      <c r="E462" s="14"/>
      <c r="F462" s="14"/>
      <c r="G462" s="14"/>
      <c r="H462" s="14"/>
      <c r="I462" s="14"/>
      <c r="J462" s="14"/>
      <c r="K462" s="14"/>
      <c r="L462" s="14"/>
      <c r="M462" s="14"/>
      <c r="N462" s="14"/>
      <c r="O462" s="14"/>
      <c r="P462" s="14"/>
      <c r="Q462" s="14"/>
      <c r="R462" s="23"/>
      <c r="S462" s="24"/>
      <c r="T462" s="25"/>
      <c r="U462" s="14"/>
      <c r="V462" s="14"/>
      <c r="W462" s="24"/>
      <c r="X462" s="14"/>
    </row>
    <row r="463">
      <c r="A463" s="14"/>
      <c r="B463" s="22"/>
      <c r="C463" s="14"/>
      <c r="D463" s="14"/>
      <c r="E463" s="14"/>
      <c r="F463" s="14"/>
      <c r="G463" s="14"/>
      <c r="H463" s="14"/>
      <c r="I463" s="14"/>
      <c r="J463" s="14"/>
      <c r="K463" s="14"/>
      <c r="L463" s="14"/>
      <c r="M463" s="14"/>
      <c r="N463" s="14"/>
      <c r="O463" s="14"/>
      <c r="P463" s="14"/>
      <c r="Q463" s="14"/>
      <c r="R463" s="23"/>
      <c r="S463" s="24"/>
      <c r="T463" s="25"/>
      <c r="U463" s="14"/>
      <c r="V463" s="14"/>
      <c r="W463" s="24"/>
      <c r="X463" s="14"/>
    </row>
    <row r="464">
      <c r="A464" s="14"/>
      <c r="B464" s="22"/>
      <c r="C464" s="14"/>
      <c r="D464" s="14"/>
      <c r="E464" s="14"/>
      <c r="F464" s="14"/>
      <c r="G464" s="14"/>
      <c r="H464" s="14"/>
      <c r="I464" s="14"/>
      <c r="J464" s="14"/>
      <c r="K464" s="14"/>
      <c r="L464" s="14"/>
      <c r="M464" s="14"/>
      <c r="N464" s="14"/>
      <c r="O464" s="14"/>
      <c r="P464" s="14"/>
      <c r="Q464" s="14"/>
      <c r="R464" s="23"/>
      <c r="S464" s="24"/>
      <c r="T464" s="25"/>
      <c r="U464" s="14"/>
      <c r="V464" s="14"/>
      <c r="W464" s="24"/>
      <c r="X464" s="14"/>
    </row>
    <row r="465">
      <c r="A465" s="14"/>
      <c r="B465" s="22"/>
      <c r="C465" s="14"/>
      <c r="D465" s="14"/>
      <c r="E465" s="14"/>
      <c r="F465" s="14"/>
      <c r="G465" s="14"/>
      <c r="H465" s="14"/>
      <c r="I465" s="14"/>
      <c r="J465" s="14"/>
      <c r="K465" s="14"/>
      <c r="L465" s="14"/>
      <c r="M465" s="14"/>
      <c r="N465" s="14"/>
      <c r="O465" s="14"/>
      <c r="P465" s="14"/>
      <c r="Q465" s="14"/>
      <c r="R465" s="23"/>
      <c r="S465" s="24"/>
      <c r="T465" s="25"/>
      <c r="U465" s="14"/>
      <c r="V465" s="14"/>
      <c r="W465" s="24"/>
      <c r="X465" s="14"/>
    </row>
    <row r="466">
      <c r="A466" s="14"/>
      <c r="B466" s="22"/>
      <c r="C466" s="14"/>
      <c r="D466" s="14"/>
      <c r="E466" s="14"/>
      <c r="F466" s="14"/>
      <c r="G466" s="14"/>
      <c r="H466" s="14"/>
      <c r="I466" s="14"/>
      <c r="J466" s="14"/>
      <c r="K466" s="14"/>
      <c r="L466" s="14"/>
      <c r="M466" s="14"/>
      <c r="N466" s="14"/>
      <c r="O466" s="14"/>
      <c r="P466" s="14"/>
      <c r="Q466" s="14"/>
      <c r="R466" s="23"/>
      <c r="S466" s="24"/>
      <c r="T466" s="25"/>
      <c r="U466" s="14"/>
      <c r="V466" s="14"/>
      <c r="W466" s="24"/>
      <c r="X466" s="14"/>
    </row>
    <row r="467">
      <c r="A467" s="14"/>
      <c r="B467" s="22"/>
      <c r="C467" s="14"/>
      <c r="D467" s="14"/>
      <c r="E467" s="14"/>
      <c r="F467" s="14"/>
      <c r="G467" s="14"/>
      <c r="H467" s="14"/>
      <c r="I467" s="14"/>
      <c r="J467" s="14"/>
      <c r="K467" s="14"/>
      <c r="L467" s="14"/>
      <c r="M467" s="14"/>
      <c r="N467" s="14"/>
      <c r="O467" s="14"/>
      <c r="P467" s="14"/>
      <c r="Q467" s="14"/>
      <c r="R467" s="23"/>
      <c r="S467" s="24"/>
      <c r="T467" s="25"/>
      <c r="U467" s="14"/>
      <c r="V467" s="14"/>
      <c r="W467" s="24"/>
      <c r="X467" s="14"/>
    </row>
    <row r="468">
      <c r="A468" s="14"/>
      <c r="B468" s="22"/>
      <c r="C468" s="14"/>
      <c r="D468" s="14"/>
      <c r="E468" s="14"/>
      <c r="F468" s="14"/>
      <c r="G468" s="14"/>
      <c r="H468" s="14"/>
      <c r="I468" s="14"/>
      <c r="J468" s="14"/>
      <c r="K468" s="14"/>
      <c r="L468" s="14"/>
      <c r="M468" s="14"/>
      <c r="N468" s="14"/>
      <c r="O468" s="14"/>
      <c r="P468" s="14"/>
      <c r="Q468" s="14"/>
      <c r="R468" s="23"/>
      <c r="S468" s="24"/>
      <c r="T468" s="25"/>
      <c r="U468" s="14"/>
      <c r="V468" s="14"/>
      <c r="W468" s="24"/>
      <c r="X468" s="14"/>
    </row>
    <row r="469">
      <c r="A469" s="14"/>
      <c r="B469" s="22"/>
      <c r="C469" s="14"/>
      <c r="D469" s="14"/>
      <c r="E469" s="14"/>
      <c r="F469" s="14"/>
      <c r="G469" s="14"/>
      <c r="H469" s="14"/>
      <c r="I469" s="14"/>
      <c r="J469" s="14"/>
      <c r="K469" s="14"/>
      <c r="L469" s="14"/>
      <c r="M469" s="14"/>
      <c r="N469" s="14"/>
      <c r="O469" s="14"/>
      <c r="P469" s="14"/>
      <c r="Q469" s="14"/>
      <c r="R469" s="23"/>
      <c r="S469" s="24"/>
      <c r="T469" s="25"/>
      <c r="U469" s="14"/>
      <c r="V469" s="14"/>
      <c r="W469" s="24"/>
      <c r="X469" s="14"/>
    </row>
    <row r="470">
      <c r="A470" s="14"/>
      <c r="B470" s="22"/>
      <c r="C470" s="14"/>
      <c r="D470" s="14"/>
      <c r="E470" s="14"/>
      <c r="F470" s="14"/>
      <c r="G470" s="14"/>
      <c r="H470" s="14"/>
      <c r="I470" s="14"/>
      <c r="J470" s="14"/>
      <c r="K470" s="14"/>
      <c r="L470" s="14"/>
      <c r="M470" s="14"/>
      <c r="N470" s="14"/>
      <c r="O470" s="14"/>
      <c r="P470" s="14"/>
      <c r="Q470" s="14"/>
      <c r="R470" s="23"/>
      <c r="S470" s="24"/>
      <c r="T470" s="25"/>
      <c r="U470" s="14"/>
      <c r="V470" s="14"/>
      <c r="W470" s="24"/>
      <c r="X470" s="14"/>
    </row>
    <row r="471">
      <c r="A471" s="14"/>
      <c r="B471" s="22"/>
      <c r="C471" s="14"/>
      <c r="D471" s="14"/>
      <c r="E471" s="14"/>
      <c r="F471" s="14"/>
      <c r="G471" s="14"/>
      <c r="H471" s="14"/>
      <c r="I471" s="14"/>
      <c r="J471" s="14"/>
      <c r="K471" s="14"/>
      <c r="L471" s="14"/>
      <c r="M471" s="14"/>
      <c r="N471" s="14"/>
      <c r="O471" s="14"/>
      <c r="P471" s="14"/>
      <c r="Q471" s="14"/>
      <c r="R471" s="23"/>
      <c r="S471" s="24"/>
      <c r="T471" s="25"/>
      <c r="U471" s="14"/>
      <c r="V471" s="14"/>
      <c r="W471" s="24"/>
      <c r="X471" s="14"/>
    </row>
    <row r="472">
      <c r="A472" s="14"/>
      <c r="B472" s="22"/>
      <c r="C472" s="14"/>
      <c r="D472" s="14"/>
      <c r="E472" s="14"/>
      <c r="F472" s="14"/>
      <c r="G472" s="14"/>
      <c r="H472" s="14"/>
      <c r="I472" s="14"/>
      <c r="J472" s="14"/>
      <c r="K472" s="14"/>
      <c r="L472" s="14"/>
      <c r="M472" s="14"/>
      <c r="N472" s="14"/>
      <c r="O472" s="14"/>
      <c r="P472" s="14"/>
      <c r="Q472" s="14"/>
      <c r="R472" s="23"/>
      <c r="S472" s="24"/>
      <c r="T472" s="25"/>
      <c r="U472" s="14"/>
      <c r="V472" s="14"/>
      <c r="W472" s="24"/>
      <c r="X472" s="14"/>
    </row>
    <row r="473">
      <c r="A473" s="14"/>
      <c r="B473" s="22"/>
      <c r="C473" s="14"/>
      <c r="D473" s="14"/>
      <c r="E473" s="14"/>
      <c r="F473" s="14"/>
      <c r="G473" s="14"/>
      <c r="H473" s="14"/>
      <c r="I473" s="14"/>
      <c r="J473" s="14"/>
      <c r="K473" s="14"/>
      <c r="L473" s="14"/>
      <c r="M473" s="14"/>
      <c r="N473" s="14"/>
      <c r="O473" s="14"/>
      <c r="P473" s="14"/>
      <c r="Q473" s="14"/>
      <c r="R473" s="23"/>
      <c r="S473" s="24"/>
      <c r="T473" s="25"/>
      <c r="U473" s="14"/>
      <c r="V473" s="14"/>
      <c r="W473" s="24"/>
      <c r="X473" s="14"/>
    </row>
    <row r="474">
      <c r="A474" s="14"/>
      <c r="B474" s="22"/>
      <c r="C474" s="14"/>
      <c r="D474" s="14"/>
      <c r="E474" s="14"/>
      <c r="F474" s="14"/>
      <c r="G474" s="14"/>
      <c r="H474" s="14"/>
      <c r="I474" s="14"/>
      <c r="J474" s="14"/>
      <c r="K474" s="14"/>
      <c r="L474" s="14"/>
      <c r="M474" s="14"/>
      <c r="N474" s="14"/>
      <c r="O474" s="14"/>
      <c r="P474" s="14"/>
      <c r="Q474" s="14"/>
      <c r="R474" s="23"/>
      <c r="S474" s="24"/>
      <c r="T474" s="25"/>
      <c r="U474" s="14"/>
      <c r="V474" s="14"/>
      <c r="W474" s="24"/>
      <c r="X474" s="14"/>
    </row>
    <row r="475">
      <c r="A475" s="14"/>
      <c r="B475" s="22"/>
      <c r="C475" s="14"/>
      <c r="D475" s="14"/>
      <c r="E475" s="14"/>
      <c r="F475" s="14"/>
      <c r="G475" s="14"/>
      <c r="H475" s="14"/>
      <c r="I475" s="14"/>
      <c r="J475" s="14"/>
      <c r="K475" s="14"/>
      <c r="L475" s="14"/>
      <c r="M475" s="14"/>
      <c r="N475" s="14"/>
      <c r="O475" s="14"/>
      <c r="P475" s="14"/>
      <c r="Q475" s="14"/>
      <c r="R475" s="23"/>
      <c r="S475" s="24"/>
      <c r="T475" s="25"/>
      <c r="U475" s="14"/>
      <c r="V475" s="14"/>
      <c r="W475" s="24"/>
      <c r="X475" s="14"/>
    </row>
    <row r="476">
      <c r="A476" s="14"/>
      <c r="B476" s="22"/>
      <c r="C476" s="14"/>
      <c r="D476" s="14"/>
      <c r="E476" s="14"/>
      <c r="F476" s="14"/>
      <c r="G476" s="14"/>
      <c r="H476" s="14"/>
      <c r="I476" s="14"/>
      <c r="J476" s="14"/>
      <c r="K476" s="14"/>
      <c r="L476" s="14"/>
      <c r="M476" s="14"/>
      <c r="N476" s="14"/>
      <c r="O476" s="14"/>
      <c r="P476" s="14"/>
      <c r="Q476" s="14"/>
      <c r="R476" s="23"/>
      <c r="S476" s="24"/>
      <c r="T476" s="25"/>
      <c r="U476" s="14"/>
      <c r="V476" s="14"/>
      <c r="W476" s="24"/>
      <c r="X476" s="14"/>
    </row>
    <row r="477">
      <c r="A477" s="14"/>
      <c r="B477" s="22"/>
      <c r="C477" s="14"/>
      <c r="D477" s="14"/>
      <c r="E477" s="14"/>
      <c r="F477" s="14"/>
      <c r="G477" s="14"/>
      <c r="H477" s="14"/>
      <c r="I477" s="14"/>
      <c r="J477" s="14"/>
      <c r="K477" s="14"/>
      <c r="L477" s="14"/>
      <c r="M477" s="14"/>
      <c r="N477" s="14"/>
      <c r="O477" s="14"/>
      <c r="P477" s="14"/>
      <c r="Q477" s="14"/>
      <c r="R477" s="23"/>
      <c r="S477" s="24"/>
      <c r="T477" s="25"/>
      <c r="U477" s="14"/>
      <c r="V477" s="14"/>
      <c r="W477" s="24"/>
      <c r="X477" s="14"/>
    </row>
    <row r="478">
      <c r="A478" s="14"/>
      <c r="B478" s="22"/>
      <c r="C478" s="14"/>
      <c r="D478" s="14"/>
      <c r="E478" s="14"/>
      <c r="F478" s="14"/>
      <c r="G478" s="14"/>
      <c r="H478" s="14"/>
      <c r="I478" s="14"/>
      <c r="J478" s="14"/>
      <c r="K478" s="14"/>
      <c r="L478" s="14"/>
      <c r="M478" s="14"/>
      <c r="N478" s="14"/>
      <c r="O478" s="14"/>
      <c r="P478" s="14"/>
      <c r="Q478" s="14"/>
      <c r="R478" s="23"/>
      <c r="S478" s="24"/>
      <c r="T478" s="25"/>
      <c r="U478" s="14"/>
      <c r="V478" s="14"/>
      <c r="W478" s="24"/>
      <c r="X478" s="14"/>
    </row>
    <row r="479">
      <c r="A479" s="14"/>
      <c r="B479" s="22"/>
      <c r="C479" s="14"/>
      <c r="D479" s="14"/>
      <c r="E479" s="14"/>
      <c r="F479" s="14"/>
      <c r="G479" s="14"/>
      <c r="H479" s="14"/>
      <c r="I479" s="14"/>
      <c r="J479" s="14"/>
      <c r="K479" s="14"/>
      <c r="L479" s="14"/>
      <c r="M479" s="14"/>
      <c r="N479" s="14"/>
      <c r="O479" s="14"/>
      <c r="P479" s="14"/>
      <c r="Q479" s="14"/>
      <c r="R479" s="23"/>
      <c r="S479" s="24"/>
      <c r="T479" s="25"/>
      <c r="U479" s="14"/>
      <c r="V479" s="14"/>
      <c r="W479" s="24"/>
      <c r="X479" s="14"/>
    </row>
    <row r="480">
      <c r="A480" s="14"/>
      <c r="B480" s="22"/>
      <c r="C480" s="14"/>
      <c r="D480" s="14"/>
      <c r="E480" s="14"/>
      <c r="F480" s="14"/>
      <c r="G480" s="14"/>
      <c r="H480" s="14"/>
      <c r="I480" s="14"/>
      <c r="J480" s="14"/>
      <c r="K480" s="14"/>
      <c r="L480" s="14"/>
      <c r="M480" s="14"/>
      <c r="N480" s="14"/>
      <c r="O480" s="14"/>
      <c r="P480" s="14"/>
      <c r="Q480" s="14"/>
      <c r="R480" s="23"/>
      <c r="S480" s="24"/>
      <c r="T480" s="25"/>
      <c r="U480" s="14"/>
      <c r="V480" s="14"/>
      <c r="W480" s="24"/>
      <c r="X480" s="14"/>
    </row>
    <row r="481">
      <c r="A481" s="14"/>
      <c r="B481" s="22"/>
      <c r="C481" s="14"/>
      <c r="D481" s="14"/>
      <c r="E481" s="14"/>
      <c r="F481" s="14"/>
      <c r="G481" s="14"/>
      <c r="H481" s="14"/>
      <c r="I481" s="14"/>
      <c r="J481" s="14"/>
      <c r="K481" s="14"/>
      <c r="L481" s="14"/>
      <c r="M481" s="14"/>
      <c r="N481" s="14"/>
      <c r="O481" s="14"/>
      <c r="P481" s="14"/>
      <c r="Q481" s="14"/>
      <c r="R481" s="23"/>
      <c r="S481" s="24"/>
      <c r="T481" s="25"/>
      <c r="U481" s="14"/>
      <c r="V481" s="14"/>
      <c r="W481" s="24"/>
      <c r="X481" s="14"/>
    </row>
    <row r="482">
      <c r="A482" s="14"/>
      <c r="B482" s="22"/>
      <c r="C482" s="14"/>
      <c r="D482" s="14"/>
      <c r="E482" s="14"/>
      <c r="F482" s="14"/>
      <c r="G482" s="14"/>
      <c r="H482" s="14"/>
      <c r="I482" s="14"/>
      <c r="J482" s="14"/>
      <c r="K482" s="14"/>
      <c r="L482" s="14"/>
      <c r="M482" s="14"/>
      <c r="N482" s="14"/>
      <c r="O482" s="14"/>
      <c r="P482" s="14"/>
      <c r="Q482" s="14"/>
      <c r="R482" s="23"/>
      <c r="S482" s="24"/>
      <c r="T482" s="25"/>
      <c r="U482" s="14"/>
      <c r="V482" s="14"/>
      <c r="W482" s="24"/>
      <c r="X482" s="14"/>
    </row>
    <row r="483">
      <c r="A483" s="14"/>
      <c r="B483" s="22"/>
      <c r="C483" s="14"/>
      <c r="D483" s="14"/>
      <c r="E483" s="14"/>
      <c r="F483" s="14"/>
      <c r="G483" s="14"/>
      <c r="H483" s="14"/>
      <c r="I483" s="14"/>
      <c r="J483" s="14"/>
      <c r="K483" s="14"/>
      <c r="L483" s="14"/>
      <c r="M483" s="14"/>
      <c r="N483" s="14"/>
      <c r="O483" s="14"/>
      <c r="P483" s="14"/>
      <c r="Q483" s="14"/>
      <c r="R483" s="23"/>
      <c r="S483" s="24"/>
      <c r="T483" s="25"/>
      <c r="U483" s="14"/>
      <c r="V483" s="14"/>
      <c r="W483" s="24"/>
      <c r="X483" s="14"/>
    </row>
    <row r="484">
      <c r="A484" s="14"/>
      <c r="B484" s="22"/>
      <c r="C484" s="14"/>
      <c r="D484" s="14"/>
      <c r="E484" s="14"/>
      <c r="F484" s="14"/>
      <c r="G484" s="14"/>
      <c r="H484" s="14"/>
      <c r="I484" s="14"/>
      <c r="J484" s="14"/>
      <c r="K484" s="14"/>
      <c r="L484" s="14"/>
      <c r="M484" s="14"/>
      <c r="N484" s="14"/>
      <c r="O484" s="14"/>
      <c r="P484" s="14"/>
      <c r="Q484" s="14"/>
      <c r="R484" s="23"/>
      <c r="S484" s="24"/>
      <c r="T484" s="25"/>
      <c r="U484" s="14"/>
      <c r="V484" s="14"/>
      <c r="W484" s="24"/>
      <c r="X484" s="14"/>
    </row>
    <row r="485">
      <c r="A485" s="14"/>
      <c r="B485" s="22"/>
      <c r="C485" s="14"/>
      <c r="D485" s="14"/>
      <c r="E485" s="14"/>
      <c r="F485" s="14"/>
      <c r="G485" s="14"/>
      <c r="H485" s="14"/>
      <c r="I485" s="14"/>
      <c r="J485" s="14"/>
      <c r="K485" s="14"/>
      <c r="L485" s="14"/>
      <c r="M485" s="14"/>
      <c r="N485" s="14"/>
      <c r="O485" s="14"/>
      <c r="P485" s="14"/>
      <c r="Q485" s="14"/>
      <c r="R485" s="23"/>
      <c r="S485" s="24"/>
      <c r="T485" s="25"/>
      <c r="U485" s="14"/>
      <c r="V485" s="14"/>
      <c r="W485" s="24"/>
      <c r="X485" s="14"/>
    </row>
    <row r="486">
      <c r="A486" s="14"/>
      <c r="B486" s="22"/>
      <c r="C486" s="14"/>
      <c r="D486" s="14"/>
      <c r="E486" s="14"/>
      <c r="F486" s="14"/>
      <c r="G486" s="14"/>
      <c r="H486" s="14"/>
      <c r="I486" s="14"/>
      <c r="J486" s="14"/>
      <c r="K486" s="14"/>
      <c r="L486" s="14"/>
      <c r="M486" s="14"/>
      <c r="N486" s="14"/>
      <c r="O486" s="14"/>
      <c r="P486" s="14"/>
      <c r="Q486" s="14"/>
      <c r="R486" s="23"/>
      <c r="S486" s="24"/>
      <c r="T486" s="25"/>
      <c r="U486" s="14"/>
      <c r="V486" s="14"/>
      <c r="W486" s="24"/>
      <c r="X486" s="14"/>
    </row>
    <row r="487">
      <c r="A487" s="14"/>
      <c r="B487" s="22"/>
      <c r="C487" s="14"/>
      <c r="D487" s="14"/>
      <c r="E487" s="14"/>
      <c r="F487" s="14"/>
      <c r="G487" s="14"/>
      <c r="H487" s="14"/>
      <c r="I487" s="14"/>
      <c r="J487" s="14"/>
      <c r="K487" s="14"/>
      <c r="L487" s="14"/>
      <c r="M487" s="14"/>
      <c r="N487" s="14"/>
      <c r="O487" s="14"/>
      <c r="P487" s="14"/>
      <c r="Q487" s="14"/>
      <c r="R487" s="23"/>
      <c r="S487" s="24"/>
      <c r="T487" s="25"/>
      <c r="U487" s="14"/>
      <c r="V487" s="14"/>
      <c r="W487" s="24"/>
      <c r="X487" s="14"/>
    </row>
    <row r="488">
      <c r="A488" s="14"/>
      <c r="B488" s="22"/>
      <c r="C488" s="14"/>
      <c r="D488" s="14"/>
      <c r="E488" s="14"/>
      <c r="F488" s="14"/>
      <c r="G488" s="14"/>
      <c r="H488" s="14"/>
      <c r="I488" s="14"/>
      <c r="J488" s="14"/>
      <c r="K488" s="14"/>
      <c r="L488" s="14"/>
      <c r="M488" s="14"/>
      <c r="N488" s="14"/>
      <c r="O488" s="14"/>
      <c r="P488" s="14"/>
      <c r="Q488" s="14"/>
      <c r="R488" s="23"/>
      <c r="S488" s="24"/>
      <c r="T488" s="25"/>
      <c r="U488" s="14"/>
      <c r="V488" s="14"/>
      <c r="W488" s="24"/>
      <c r="X488" s="14"/>
    </row>
    <row r="489">
      <c r="A489" s="14"/>
      <c r="B489" s="22"/>
      <c r="C489" s="14"/>
      <c r="D489" s="14"/>
      <c r="E489" s="14"/>
      <c r="F489" s="14"/>
      <c r="G489" s="14"/>
      <c r="H489" s="14"/>
      <c r="I489" s="14"/>
      <c r="J489" s="14"/>
      <c r="K489" s="14"/>
      <c r="L489" s="14"/>
      <c r="M489" s="14"/>
      <c r="N489" s="14"/>
      <c r="O489" s="14"/>
      <c r="P489" s="14"/>
      <c r="Q489" s="14"/>
      <c r="R489" s="23"/>
      <c r="S489" s="24"/>
      <c r="T489" s="25"/>
      <c r="U489" s="14"/>
      <c r="V489" s="14"/>
      <c r="W489" s="24"/>
      <c r="X489" s="14"/>
    </row>
    <row r="490">
      <c r="A490" s="14"/>
      <c r="B490" s="22"/>
      <c r="C490" s="14"/>
      <c r="D490" s="14"/>
      <c r="E490" s="14"/>
      <c r="F490" s="14"/>
      <c r="G490" s="14"/>
      <c r="H490" s="14"/>
      <c r="I490" s="14"/>
      <c r="J490" s="14"/>
      <c r="K490" s="14"/>
      <c r="L490" s="14"/>
      <c r="M490" s="14"/>
      <c r="N490" s="14"/>
      <c r="O490" s="14"/>
      <c r="P490" s="14"/>
      <c r="Q490" s="14"/>
      <c r="R490" s="23"/>
      <c r="S490" s="24"/>
      <c r="T490" s="25"/>
      <c r="U490" s="14"/>
      <c r="V490" s="14"/>
      <c r="W490" s="24"/>
      <c r="X490" s="14"/>
    </row>
    <row r="491">
      <c r="A491" s="14"/>
      <c r="B491" s="22"/>
      <c r="C491" s="14"/>
      <c r="D491" s="14"/>
      <c r="E491" s="14"/>
      <c r="F491" s="14"/>
      <c r="G491" s="14"/>
      <c r="H491" s="14"/>
      <c r="I491" s="14"/>
      <c r="J491" s="14"/>
      <c r="K491" s="14"/>
      <c r="L491" s="14"/>
      <c r="M491" s="14"/>
      <c r="N491" s="14"/>
      <c r="O491" s="14"/>
      <c r="P491" s="14"/>
      <c r="Q491" s="14"/>
      <c r="R491" s="23"/>
      <c r="S491" s="24"/>
      <c r="T491" s="25"/>
      <c r="U491" s="14"/>
      <c r="V491" s="14"/>
      <c r="W491" s="24"/>
      <c r="X491" s="14"/>
    </row>
    <row r="492">
      <c r="A492" s="14"/>
      <c r="B492" s="22"/>
      <c r="C492" s="14"/>
      <c r="D492" s="14"/>
      <c r="E492" s="14"/>
      <c r="F492" s="14"/>
      <c r="G492" s="14"/>
      <c r="H492" s="14"/>
      <c r="I492" s="14"/>
      <c r="J492" s="14"/>
      <c r="K492" s="14"/>
      <c r="L492" s="14"/>
      <c r="M492" s="14"/>
      <c r="N492" s="14"/>
      <c r="O492" s="14"/>
      <c r="P492" s="14"/>
      <c r="Q492" s="14"/>
      <c r="R492" s="23"/>
      <c r="S492" s="24"/>
      <c r="T492" s="25"/>
      <c r="U492" s="14"/>
      <c r="V492" s="14"/>
      <c r="W492" s="24"/>
      <c r="X492" s="14"/>
    </row>
    <row r="493">
      <c r="A493" s="14"/>
      <c r="B493" s="22"/>
      <c r="C493" s="14"/>
      <c r="D493" s="14"/>
      <c r="E493" s="14"/>
      <c r="F493" s="14"/>
      <c r="G493" s="14"/>
      <c r="H493" s="14"/>
      <c r="I493" s="14"/>
      <c r="J493" s="14"/>
      <c r="K493" s="14"/>
      <c r="L493" s="14"/>
      <c r="M493" s="14"/>
      <c r="N493" s="14"/>
      <c r="O493" s="14"/>
      <c r="P493" s="14"/>
      <c r="Q493" s="14"/>
      <c r="R493" s="23"/>
      <c r="S493" s="24"/>
      <c r="T493" s="25"/>
      <c r="U493" s="14"/>
      <c r="V493" s="14"/>
      <c r="W493" s="24"/>
      <c r="X493" s="14"/>
    </row>
    <row r="494">
      <c r="A494" s="14"/>
      <c r="B494" s="22"/>
      <c r="C494" s="14"/>
      <c r="D494" s="14"/>
      <c r="E494" s="14"/>
      <c r="F494" s="14"/>
      <c r="G494" s="14"/>
      <c r="H494" s="14"/>
      <c r="I494" s="14"/>
      <c r="J494" s="14"/>
      <c r="K494" s="14"/>
      <c r="L494" s="14"/>
      <c r="M494" s="14"/>
      <c r="N494" s="14"/>
      <c r="O494" s="14"/>
      <c r="P494" s="14"/>
      <c r="Q494" s="14"/>
      <c r="R494" s="23"/>
      <c r="S494" s="24"/>
      <c r="T494" s="25"/>
      <c r="U494" s="14"/>
      <c r="V494" s="14"/>
      <c r="W494" s="24"/>
      <c r="X494" s="14"/>
    </row>
    <row r="495">
      <c r="A495" s="14"/>
      <c r="B495" s="22"/>
      <c r="C495" s="14"/>
      <c r="D495" s="14"/>
      <c r="E495" s="14"/>
      <c r="F495" s="14"/>
      <c r="G495" s="14"/>
      <c r="H495" s="14"/>
      <c r="I495" s="14"/>
      <c r="J495" s="14"/>
      <c r="K495" s="14"/>
      <c r="L495" s="14"/>
      <c r="M495" s="14"/>
      <c r="N495" s="14"/>
      <c r="O495" s="14"/>
      <c r="P495" s="14"/>
      <c r="Q495" s="14"/>
      <c r="R495" s="23"/>
      <c r="S495" s="24"/>
      <c r="T495" s="25"/>
      <c r="U495" s="14"/>
      <c r="V495" s="14"/>
      <c r="W495" s="24"/>
      <c r="X495" s="14"/>
    </row>
    <row r="496">
      <c r="A496" s="14"/>
      <c r="B496" s="22"/>
      <c r="C496" s="14"/>
      <c r="D496" s="14"/>
      <c r="E496" s="14"/>
      <c r="F496" s="14"/>
      <c r="G496" s="14"/>
      <c r="H496" s="14"/>
      <c r="I496" s="14"/>
      <c r="J496" s="14"/>
      <c r="K496" s="14"/>
      <c r="L496" s="14"/>
      <c r="M496" s="14"/>
      <c r="N496" s="14"/>
      <c r="O496" s="14"/>
      <c r="P496" s="14"/>
      <c r="Q496" s="14"/>
      <c r="R496" s="23"/>
      <c r="S496" s="24"/>
      <c r="T496" s="25"/>
      <c r="U496" s="14"/>
      <c r="V496" s="14"/>
      <c r="W496" s="24"/>
      <c r="X496" s="14"/>
    </row>
    <row r="497">
      <c r="A497" s="14"/>
      <c r="B497" s="22"/>
      <c r="C497" s="14"/>
      <c r="D497" s="14"/>
      <c r="E497" s="14"/>
      <c r="F497" s="14"/>
      <c r="G497" s="14"/>
      <c r="H497" s="14"/>
      <c r="I497" s="14"/>
      <c r="J497" s="14"/>
      <c r="K497" s="14"/>
      <c r="L497" s="14"/>
      <c r="M497" s="14"/>
      <c r="N497" s="14"/>
      <c r="O497" s="14"/>
      <c r="P497" s="14"/>
      <c r="Q497" s="14"/>
      <c r="R497" s="23"/>
      <c r="S497" s="24"/>
      <c r="T497" s="25"/>
      <c r="U497" s="14"/>
      <c r="V497" s="14"/>
      <c r="W497" s="24"/>
      <c r="X497" s="14"/>
    </row>
    <row r="498">
      <c r="A498" s="14"/>
      <c r="B498" s="22"/>
      <c r="C498" s="14"/>
      <c r="D498" s="14"/>
      <c r="E498" s="14"/>
      <c r="F498" s="14"/>
      <c r="G498" s="14"/>
      <c r="H498" s="14"/>
      <c r="I498" s="14"/>
      <c r="J498" s="14"/>
      <c r="K498" s="14"/>
      <c r="L498" s="14"/>
      <c r="M498" s="14"/>
      <c r="N498" s="14"/>
      <c r="O498" s="14"/>
      <c r="P498" s="14"/>
      <c r="Q498" s="14"/>
      <c r="R498" s="23"/>
      <c r="S498" s="24"/>
      <c r="T498" s="25"/>
      <c r="U498" s="14"/>
      <c r="V498" s="14"/>
      <c r="W498" s="24"/>
      <c r="X498" s="14"/>
    </row>
    <row r="499">
      <c r="A499" s="14"/>
      <c r="B499" s="22"/>
      <c r="C499" s="14"/>
      <c r="D499" s="14"/>
      <c r="E499" s="14"/>
      <c r="F499" s="14"/>
      <c r="G499" s="14"/>
      <c r="H499" s="14"/>
      <c r="I499" s="14"/>
      <c r="J499" s="14"/>
      <c r="K499" s="14"/>
      <c r="L499" s="14"/>
      <c r="M499" s="14"/>
      <c r="N499" s="14"/>
      <c r="O499" s="14"/>
      <c r="P499" s="14"/>
      <c r="Q499" s="14"/>
      <c r="R499" s="23"/>
      <c r="S499" s="24"/>
      <c r="T499" s="25"/>
      <c r="U499" s="14"/>
      <c r="V499" s="14"/>
      <c r="W499" s="24"/>
      <c r="X499" s="14"/>
    </row>
    <row r="500">
      <c r="A500" s="14"/>
      <c r="B500" s="22"/>
      <c r="C500" s="14"/>
      <c r="D500" s="14"/>
      <c r="E500" s="14"/>
      <c r="F500" s="14"/>
      <c r="G500" s="14"/>
      <c r="H500" s="14"/>
      <c r="I500" s="14"/>
      <c r="J500" s="14"/>
      <c r="K500" s="14"/>
      <c r="L500" s="14"/>
      <c r="M500" s="14"/>
      <c r="N500" s="14"/>
      <c r="O500" s="14"/>
      <c r="P500" s="14"/>
      <c r="Q500" s="14"/>
      <c r="R500" s="23"/>
      <c r="S500" s="24"/>
      <c r="T500" s="25"/>
      <c r="U500" s="14"/>
      <c r="V500" s="14"/>
      <c r="W500" s="24"/>
      <c r="X500" s="14"/>
    </row>
    <row r="501">
      <c r="A501" s="14"/>
      <c r="B501" s="22"/>
      <c r="C501" s="14"/>
      <c r="D501" s="14"/>
      <c r="E501" s="14"/>
      <c r="F501" s="14"/>
      <c r="G501" s="14"/>
      <c r="H501" s="14"/>
      <c r="I501" s="14"/>
      <c r="J501" s="14"/>
      <c r="K501" s="14"/>
      <c r="L501" s="14"/>
      <c r="M501" s="14"/>
      <c r="N501" s="14"/>
      <c r="O501" s="14"/>
      <c r="P501" s="14"/>
      <c r="Q501" s="14"/>
      <c r="R501" s="23"/>
      <c r="S501" s="24"/>
      <c r="T501" s="25"/>
      <c r="U501" s="14"/>
      <c r="V501" s="14"/>
      <c r="W501" s="24"/>
      <c r="X501" s="14"/>
    </row>
    <row r="502">
      <c r="A502" s="14"/>
      <c r="B502" s="22"/>
      <c r="C502" s="14"/>
      <c r="D502" s="14"/>
      <c r="E502" s="14"/>
      <c r="F502" s="14"/>
      <c r="G502" s="14"/>
      <c r="H502" s="14"/>
      <c r="I502" s="14"/>
      <c r="J502" s="14"/>
      <c r="K502" s="14"/>
      <c r="L502" s="14"/>
      <c r="M502" s="14"/>
      <c r="N502" s="14"/>
      <c r="O502" s="14"/>
      <c r="P502" s="14"/>
      <c r="Q502" s="14"/>
      <c r="R502" s="23"/>
      <c r="S502" s="24"/>
      <c r="T502" s="25"/>
      <c r="U502" s="14"/>
      <c r="V502" s="14"/>
      <c r="W502" s="24"/>
      <c r="X502" s="14"/>
    </row>
    <row r="503">
      <c r="A503" s="14"/>
      <c r="B503" s="22"/>
      <c r="C503" s="14"/>
      <c r="D503" s="14"/>
      <c r="E503" s="14"/>
      <c r="F503" s="14"/>
      <c r="G503" s="14"/>
      <c r="H503" s="14"/>
      <c r="I503" s="14"/>
      <c r="J503" s="14"/>
      <c r="K503" s="14"/>
      <c r="L503" s="14"/>
      <c r="M503" s="14"/>
      <c r="N503" s="14"/>
      <c r="O503" s="14"/>
      <c r="P503" s="14"/>
      <c r="Q503" s="14"/>
      <c r="R503" s="23"/>
      <c r="S503" s="24"/>
      <c r="T503" s="25"/>
      <c r="U503" s="14"/>
      <c r="V503" s="14"/>
      <c r="W503" s="24"/>
      <c r="X503" s="14"/>
    </row>
    <row r="504">
      <c r="A504" s="14"/>
      <c r="B504" s="22"/>
      <c r="C504" s="14"/>
      <c r="D504" s="14"/>
      <c r="E504" s="14"/>
      <c r="F504" s="14"/>
      <c r="G504" s="14"/>
      <c r="H504" s="14"/>
      <c r="I504" s="14"/>
      <c r="J504" s="14"/>
      <c r="K504" s="14"/>
      <c r="L504" s="14"/>
      <c r="M504" s="14"/>
      <c r="N504" s="14"/>
      <c r="O504" s="14"/>
      <c r="P504" s="14"/>
      <c r="Q504" s="14"/>
      <c r="R504" s="23"/>
      <c r="S504" s="24"/>
      <c r="T504" s="25"/>
      <c r="U504" s="14"/>
      <c r="V504" s="14"/>
      <c r="W504" s="24"/>
      <c r="X504" s="14"/>
    </row>
    <row r="505">
      <c r="A505" s="14"/>
      <c r="B505" s="22"/>
      <c r="C505" s="14"/>
      <c r="D505" s="14"/>
      <c r="E505" s="14"/>
      <c r="F505" s="14"/>
      <c r="G505" s="14"/>
      <c r="H505" s="14"/>
      <c r="I505" s="14"/>
      <c r="J505" s="14"/>
      <c r="K505" s="14"/>
      <c r="L505" s="14"/>
      <c r="M505" s="14"/>
      <c r="N505" s="14"/>
      <c r="O505" s="14"/>
      <c r="P505" s="14"/>
      <c r="Q505" s="14"/>
      <c r="R505" s="23"/>
      <c r="S505" s="24"/>
      <c r="T505" s="25"/>
      <c r="U505" s="14"/>
      <c r="V505" s="14"/>
      <c r="W505" s="24"/>
      <c r="X505" s="14"/>
    </row>
    <row r="506">
      <c r="A506" s="14"/>
      <c r="B506" s="22"/>
      <c r="C506" s="14"/>
      <c r="D506" s="14"/>
      <c r="E506" s="14"/>
      <c r="F506" s="14"/>
      <c r="G506" s="14"/>
      <c r="H506" s="14"/>
      <c r="I506" s="14"/>
      <c r="J506" s="14"/>
      <c r="K506" s="14"/>
      <c r="L506" s="14"/>
      <c r="M506" s="14"/>
      <c r="N506" s="14"/>
      <c r="O506" s="14"/>
      <c r="P506" s="14"/>
      <c r="Q506" s="14"/>
      <c r="R506" s="23"/>
      <c r="S506" s="24"/>
      <c r="T506" s="25"/>
      <c r="U506" s="14"/>
      <c r="V506" s="14"/>
      <c r="W506" s="24"/>
      <c r="X506" s="14"/>
    </row>
    <row r="507">
      <c r="A507" s="14"/>
      <c r="B507" s="22"/>
      <c r="C507" s="14"/>
      <c r="D507" s="14"/>
      <c r="E507" s="14"/>
      <c r="F507" s="14"/>
      <c r="G507" s="14"/>
      <c r="H507" s="14"/>
      <c r="I507" s="14"/>
      <c r="J507" s="14"/>
      <c r="K507" s="14"/>
      <c r="L507" s="14"/>
      <c r="M507" s="14"/>
      <c r="N507" s="14"/>
      <c r="O507" s="14"/>
      <c r="P507" s="14"/>
      <c r="Q507" s="14"/>
      <c r="R507" s="23"/>
      <c r="S507" s="24"/>
      <c r="T507" s="25"/>
      <c r="U507" s="14"/>
      <c r="V507" s="14"/>
      <c r="W507" s="24"/>
      <c r="X507" s="14"/>
    </row>
    <row r="508">
      <c r="A508" s="14"/>
      <c r="B508" s="22"/>
      <c r="C508" s="14"/>
      <c r="D508" s="14"/>
      <c r="E508" s="14"/>
      <c r="F508" s="14"/>
      <c r="G508" s="14"/>
      <c r="H508" s="14"/>
      <c r="I508" s="14"/>
      <c r="J508" s="14"/>
      <c r="K508" s="14"/>
      <c r="L508" s="14"/>
      <c r="M508" s="14"/>
      <c r="N508" s="14"/>
      <c r="O508" s="14"/>
      <c r="P508" s="14"/>
      <c r="Q508" s="14"/>
      <c r="R508" s="23"/>
      <c r="S508" s="24"/>
      <c r="T508" s="25"/>
      <c r="U508" s="14"/>
      <c r="V508" s="14"/>
      <c r="W508" s="24"/>
      <c r="X508" s="14"/>
    </row>
    <row r="509">
      <c r="A509" s="14"/>
      <c r="B509" s="22"/>
      <c r="C509" s="14"/>
      <c r="D509" s="14"/>
      <c r="E509" s="14"/>
      <c r="F509" s="14"/>
      <c r="G509" s="14"/>
      <c r="H509" s="14"/>
      <c r="I509" s="14"/>
      <c r="J509" s="14"/>
      <c r="K509" s="14"/>
      <c r="L509" s="14"/>
      <c r="M509" s="14"/>
      <c r="N509" s="14"/>
      <c r="O509" s="14"/>
      <c r="P509" s="14"/>
      <c r="Q509" s="14"/>
      <c r="R509" s="23"/>
      <c r="S509" s="24"/>
      <c r="T509" s="25"/>
      <c r="U509" s="14"/>
      <c r="V509" s="14"/>
      <c r="W509" s="24"/>
      <c r="X509" s="14"/>
    </row>
    <row r="510">
      <c r="A510" s="14"/>
      <c r="B510" s="22"/>
      <c r="C510" s="14"/>
      <c r="D510" s="14"/>
      <c r="E510" s="14"/>
      <c r="F510" s="14"/>
      <c r="G510" s="14"/>
      <c r="H510" s="14"/>
      <c r="I510" s="14"/>
      <c r="J510" s="14"/>
      <c r="K510" s="14"/>
      <c r="L510" s="14"/>
      <c r="M510" s="14"/>
      <c r="N510" s="14"/>
      <c r="O510" s="14"/>
      <c r="P510" s="14"/>
      <c r="Q510" s="14"/>
      <c r="R510" s="23"/>
      <c r="S510" s="24"/>
      <c r="T510" s="25"/>
      <c r="U510" s="14"/>
      <c r="V510" s="14"/>
      <c r="W510" s="24"/>
      <c r="X510" s="14"/>
    </row>
    <row r="511">
      <c r="A511" s="14"/>
      <c r="B511" s="22"/>
      <c r="C511" s="14"/>
      <c r="D511" s="14"/>
      <c r="E511" s="14"/>
      <c r="F511" s="14"/>
      <c r="G511" s="14"/>
      <c r="H511" s="14"/>
      <c r="I511" s="14"/>
      <c r="J511" s="14"/>
      <c r="K511" s="14"/>
      <c r="L511" s="14"/>
      <c r="M511" s="14"/>
      <c r="N511" s="14"/>
      <c r="O511" s="14"/>
      <c r="P511" s="14"/>
      <c r="Q511" s="14"/>
      <c r="R511" s="23"/>
      <c r="S511" s="24"/>
      <c r="T511" s="25"/>
      <c r="U511" s="14"/>
      <c r="V511" s="14"/>
      <c r="W511" s="24"/>
      <c r="X511" s="14"/>
    </row>
    <row r="512">
      <c r="A512" s="14"/>
      <c r="B512" s="22"/>
      <c r="C512" s="14"/>
      <c r="D512" s="14"/>
      <c r="E512" s="14"/>
      <c r="F512" s="14"/>
      <c r="G512" s="14"/>
      <c r="H512" s="14"/>
      <c r="I512" s="14"/>
      <c r="J512" s="14"/>
      <c r="K512" s="14"/>
      <c r="L512" s="14"/>
      <c r="M512" s="14"/>
      <c r="N512" s="14"/>
      <c r="O512" s="14"/>
      <c r="P512" s="14"/>
      <c r="Q512" s="14"/>
      <c r="R512" s="23"/>
      <c r="S512" s="24"/>
      <c r="T512" s="25"/>
      <c r="U512" s="14"/>
      <c r="V512" s="14"/>
      <c r="W512" s="24"/>
      <c r="X512" s="14"/>
    </row>
    <row r="513">
      <c r="A513" s="14"/>
      <c r="B513" s="22"/>
      <c r="C513" s="14"/>
      <c r="D513" s="14"/>
      <c r="E513" s="14"/>
      <c r="F513" s="14"/>
      <c r="G513" s="14"/>
      <c r="H513" s="14"/>
      <c r="I513" s="14"/>
      <c r="J513" s="14"/>
      <c r="K513" s="14"/>
      <c r="L513" s="14"/>
      <c r="M513" s="14"/>
      <c r="N513" s="14"/>
      <c r="O513" s="14"/>
      <c r="P513" s="14"/>
      <c r="Q513" s="14"/>
      <c r="R513" s="23"/>
      <c r="S513" s="24"/>
      <c r="T513" s="25"/>
      <c r="U513" s="14"/>
      <c r="V513" s="14"/>
      <c r="W513" s="24"/>
      <c r="X513" s="14"/>
    </row>
    <row r="514">
      <c r="A514" s="14"/>
      <c r="B514" s="22"/>
      <c r="C514" s="14"/>
      <c r="D514" s="14"/>
      <c r="E514" s="14"/>
      <c r="F514" s="14"/>
      <c r="G514" s="14"/>
      <c r="H514" s="14"/>
      <c r="I514" s="14"/>
      <c r="J514" s="14"/>
      <c r="K514" s="14"/>
      <c r="L514" s="14"/>
      <c r="M514" s="14"/>
      <c r="N514" s="14"/>
      <c r="O514" s="14"/>
      <c r="P514" s="14"/>
      <c r="Q514" s="14"/>
      <c r="R514" s="23"/>
      <c r="S514" s="24"/>
      <c r="T514" s="25"/>
      <c r="U514" s="14"/>
      <c r="V514" s="14"/>
      <c r="W514" s="24"/>
      <c r="X514" s="14"/>
    </row>
    <row r="515">
      <c r="A515" s="14"/>
      <c r="B515" s="22"/>
      <c r="C515" s="14"/>
      <c r="D515" s="14"/>
      <c r="E515" s="14"/>
      <c r="F515" s="14"/>
      <c r="G515" s="14"/>
      <c r="H515" s="14"/>
      <c r="I515" s="14"/>
      <c r="J515" s="14"/>
      <c r="K515" s="14"/>
      <c r="L515" s="14"/>
      <c r="M515" s="14"/>
      <c r="N515" s="14"/>
      <c r="O515" s="14"/>
      <c r="P515" s="14"/>
      <c r="Q515" s="14"/>
      <c r="R515" s="23"/>
      <c r="S515" s="24"/>
      <c r="T515" s="25"/>
      <c r="U515" s="14"/>
      <c r="V515" s="14"/>
      <c r="W515" s="24"/>
      <c r="X515" s="14"/>
    </row>
    <row r="516">
      <c r="A516" s="14"/>
      <c r="B516" s="22"/>
      <c r="C516" s="14"/>
      <c r="D516" s="14"/>
      <c r="E516" s="14"/>
      <c r="F516" s="14"/>
      <c r="G516" s="14"/>
      <c r="H516" s="14"/>
      <c r="I516" s="14"/>
      <c r="J516" s="14"/>
      <c r="K516" s="14"/>
      <c r="L516" s="14"/>
      <c r="M516" s="14"/>
      <c r="N516" s="14"/>
      <c r="O516" s="14"/>
      <c r="P516" s="14"/>
      <c r="Q516" s="14"/>
      <c r="R516" s="23"/>
      <c r="S516" s="24"/>
      <c r="T516" s="25"/>
      <c r="U516" s="14"/>
      <c r="V516" s="14"/>
      <c r="W516" s="24"/>
      <c r="X516" s="14"/>
    </row>
    <row r="517">
      <c r="A517" s="14"/>
      <c r="B517" s="22"/>
      <c r="C517" s="14"/>
      <c r="D517" s="14"/>
      <c r="E517" s="14"/>
      <c r="F517" s="14"/>
      <c r="G517" s="14"/>
      <c r="H517" s="14"/>
      <c r="I517" s="14"/>
      <c r="J517" s="14"/>
      <c r="K517" s="14"/>
      <c r="L517" s="14"/>
      <c r="M517" s="14"/>
      <c r="N517" s="14"/>
      <c r="O517" s="14"/>
      <c r="P517" s="14"/>
      <c r="Q517" s="14"/>
      <c r="R517" s="23"/>
      <c r="S517" s="24"/>
      <c r="T517" s="25"/>
      <c r="U517" s="14"/>
      <c r="V517" s="14"/>
      <c r="W517" s="24"/>
      <c r="X517" s="14"/>
    </row>
    <row r="518">
      <c r="A518" s="14"/>
      <c r="B518" s="22"/>
      <c r="C518" s="14"/>
      <c r="D518" s="14"/>
      <c r="E518" s="14"/>
      <c r="F518" s="14"/>
      <c r="G518" s="14"/>
      <c r="H518" s="14"/>
      <c r="I518" s="14"/>
      <c r="J518" s="14"/>
      <c r="K518" s="14"/>
      <c r="L518" s="14"/>
      <c r="M518" s="14"/>
      <c r="N518" s="14"/>
      <c r="O518" s="14"/>
      <c r="P518" s="14"/>
      <c r="Q518" s="14"/>
      <c r="R518" s="23"/>
      <c r="S518" s="24"/>
      <c r="T518" s="25"/>
      <c r="U518" s="14"/>
      <c r="V518" s="14"/>
      <c r="W518" s="24"/>
      <c r="X518" s="14"/>
    </row>
    <row r="519">
      <c r="A519" s="14"/>
      <c r="B519" s="22"/>
      <c r="C519" s="14"/>
      <c r="D519" s="14"/>
      <c r="E519" s="14"/>
      <c r="F519" s="14"/>
      <c r="G519" s="14"/>
      <c r="H519" s="14"/>
      <c r="I519" s="14"/>
      <c r="J519" s="14"/>
      <c r="K519" s="14"/>
      <c r="L519" s="14"/>
      <c r="M519" s="14"/>
      <c r="N519" s="14"/>
      <c r="O519" s="14"/>
      <c r="P519" s="14"/>
      <c r="Q519" s="14"/>
      <c r="R519" s="23"/>
      <c r="S519" s="24"/>
      <c r="T519" s="25"/>
      <c r="U519" s="14"/>
      <c r="V519" s="14"/>
      <c r="W519" s="24"/>
      <c r="X519" s="14"/>
    </row>
    <row r="520">
      <c r="A520" s="14"/>
      <c r="B520" s="22"/>
      <c r="C520" s="14"/>
      <c r="D520" s="14"/>
      <c r="E520" s="14"/>
      <c r="F520" s="14"/>
      <c r="G520" s="14"/>
      <c r="H520" s="14"/>
      <c r="I520" s="14"/>
      <c r="J520" s="14"/>
      <c r="K520" s="14"/>
      <c r="L520" s="14"/>
      <c r="M520" s="14"/>
      <c r="N520" s="14"/>
      <c r="O520" s="14"/>
      <c r="P520" s="14"/>
      <c r="Q520" s="14"/>
      <c r="R520" s="23"/>
      <c r="S520" s="24"/>
      <c r="T520" s="25"/>
      <c r="U520" s="14"/>
      <c r="V520" s="14"/>
      <c r="W520" s="24"/>
      <c r="X520" s="14"/>
    </row>
    <row r="521">
      <c r="A521" s="14"/>
      <c r="B521" s="22"/>
      <c r="C521" s="14"/>
      <c r="D521" s="14"/>
      <c r="E521" s="14"/>
      <c r="F521" s="14"/>
      <c r="G521" s="14"/>
      <c r="H521" s="14"/>
      <c r="I521" s="14"/>
      <c r="J521" s="14"/>
      <c r="K521" s="14"/>
      <c r="L521" s="14"/>
      <c r="M521" s="14"/>
      <c r="N521" s="14"/>
      <c r="O521" s="14"/>
      <c r="P521" s="14"/>
      <c r="Q521" s="14"/>
      <c r="R521" s="23"/>
      <c r="S521" s="24"/>
      <c r="T521" s="25"/>
      <c r="U521" s="14"/>
      <c r="V521" s="14"/>
      <c r="W521" s="24"/>
      <c r="X521" s="14"/>
    </row>
    <row r="522">
      <c r="A522" s="14"/>
      <c r="B522" s="22"/>
      <c r="C522" s="14"/>
      <c r="D522" s="14"/>
      <c r="E522" s="14"/>
      <c r="F522" s="14"/>
      <c r="G522" s="14"/>
      <c r="H522" s="14"/>
      <c r="I522" s="14"/>
      <c r="J522" s="14"/>
      <c r="K522" s="14"/>
      <c r="L522" s="14"/>
      <c r="M522" s="14"/>
      <c r="N522" s="14"/>
      <c r="O522" s="14"/>
      <c r="P522" s="14"/>
      <c r="Q522" s="14"/>
      <c r="R522" s="23"/>
      <c r="S522" s="24"/>
      <c r="T522" s="25"/>
      <c r="U522" s="14"/>
      <c r="V522" s="14"/>
      <c r="W522" s="24"/>
      <c r="X522" s="14"/>
    </row>
    <row r="523">
      <c r="A523" s="14"/>
      <c r="B523" s="22"/>
      <c r="C523" s="14"/>
      <c r="D523" s="14"/>
      <c r="E523" s="14"/>
      <c r="F523" s="14"/>
      <c r="G523" s="14"/>
      <c r="H523" s="14"/>
      <c r="I523" s="14"/>
      <c r="J523" s="14"/>
      <c r="K523" s="14"/>
      <c r="L523" s="14"/>
      <c r="M523" s="14"/>
      <c r="N523" s="14"/>
      <c r="O523" s="14"/>
      <c r="P523" s="14"/>
      <c r="Q523" s="14"/>
      <c r="R523" s="23"/>
      <c r="S523" s="24"/>
      <c r="T523" s="25"/>
      <c r="U523" s="14"/>
      <c r="V523" s="14"/>
      <c r="W523" s="24"/>
      <c r="X523" s="14"/>
    </row>
    <row r="524">
      <c r="A524" s="14"/>
      <c r="B524" s="22"/>
      <c r="C524" s="14"/>
      <c r="D524" s="14"/>
      <c r="E524" s="14"/>
      <c r="F524" s="14"/>
      <c r="G524" s="14"/>
      <c r="H524" s="14"/>
      <c r="I524" s="14"/>
      <c r="J524" s="14"/>
      <c r="K524" s="14"/>
      <c r="L524" s="14"/>
      <c r="M524" s="14"/>
      <c r="N524" s="14"/>
      <c r="O524" s="14"/>
      <c r="P524" s="14"/>
      <c r="Q524" s="14"/>
      <c r="R524" s="23"/>
      <c r="S524" s="24"/>
      <c r="T524" s="25"/>
      <c r="U524" s="14"/>
      <c r="V524" s="14"/>
      <c r="W524" s="24"/>
      <c r="X524" s="14"/>
    </row>
    <row r="525">
      <c r="A525" s="14"/>
      <c r="B525" s="22"/>
      <c r="C525" s="14"/>
      <c r="D525" s="14"/>
      <c r="E525" s="14"/>
      <c r="F525" s="14"/>
      <c r="G525" s="14"/>
      <c r="H525" s="14"/>
      <c r="I525" s="14"/>
      <c r="J525" s="14"/>
      <c r="K525" s="14"/>
      <c r="L525" s="14"/>
      <c r="M525" s="14"/>
      <c r="N525" s="14"/>
      <c r="O525" s="14"/>
      <c r="P525" s="14"/>
      <c r="Q525" s="14"/>
      <c r="R525" s="23"/>
      <c r="S525" s="24"/>
      <c r="T525" s="25"/>
      <c r="U525" s="14"/>
      <c r="V525" s="14"/>
      <c r="W525" s="24"/>
      <c r="X525" s="14"/>
    </row>
    <row r="526">
      <c r="A526" s="14"/>
      <c r="B526" s="22"/>
      <c r="C526" s="14"/>
      <c r="D526" s="14"/>
      <c r="E526" s="14"/>
      <c r="F526" s="14"/>
      <c r="G526" s="14"/>
      <c r="H526" s="14"/>
      <c r="I526" s="14"/>
      <c r="J526" s="14"/>
      <c r="K526" s="14"/>
      <c r="L526" s="14"/>
      <c r="M526" s="14"/>
      <c r="N526" s="14"/>
      <c r="O526" s="14"/>
      <c r="P526" s="14"/>
      <c r="Q526" s="14"/>
      <c r="R526" s="23"/>
      <c r="S526" s="24"/>
      <c r="T526" s="25"/>
      <c r="U526" s="14"/>
      <c r="V526" s="14"/>
      <c r="W526" s="24"/>
      <c r="X526" s="14"/>
    </row>
    <row r="527">
      <c r="A527" s="14"/>
      <c r="B527" s="22"/>
      <c r="C527" s="14"/>
      <c r="D527" s="14"/>
      <c r="E527" s="14"/>
      <c r="F527" s="14"/>
      <c r="G527" s="14"/>
      <c r="H527" s="14"/>
      <c r="I527" s="14"/>
      <c r="J527" s="14"/>
      <c r="K527" s="14"/>
      <c r="L527" s="14"/>
      <c r="M527" s="14"/>
      <c r="N527" s="14"/>
      <c r="O527" s="14"/>
      <c r="P527" s="14"/>
      <c r="Q527" s="14"/>
      <c r="R527" s="23"/>
      <c r="S527" s="24"/>
      <c r="T527" s="25"/>
      <c r="U527" s="14"/>
      <c r="V527" s="14"/>
      <c r="W527" s="24"/>
      <c r="X527" s="14"/>
    </row>
    <row r="528">
      <c r="A528" s="14"/>
      <c r="B528" s="22"/>
      <c r="C528" s="14"/>
      <c r="D528" s="14"/>
      <c r="E528" s="14"/>
      <c r="F528" s="14"/>
      <c r="G528" s="14"/>
      <c r="H528" s="14"/>
      <c r="I528" s="14"/>
      <c r="J528" s="14"/>
      <c r="K528" s="14"/>
      <c r="L528" s="14"/>
      <c r="M528" s="14"/>
      <c r="N528" s="14"/>
      <c r="O528" s="14"/>
      <c r="P528" s="14"/>
      <c r="Q528" s="14"/>
      <c r="R528" s="23"/>
      <c r="S528" s="24"/>
      <c r="T528" s="25"/>
      <c r="U528" s="14"/>
      <c r="V528" s="14"/>
      <c r="W528" s="24"/>
      <c r="X528" s="14"/>
    </row>
    <row r="529">
      <c r="A529" s="14"/>
      <c r="B529" s="22"/>
      <c r="C529" s="14"/>
      <c r="D529" s="14"/>
      <c r="E529" s="14"/>
      <c r="F529" s="14"/>
      <c r="G529" s="14"/>
      <c r="H529" s="14"/>
      <c r="I529" s="14"/>
      <c r="J529" s="14"/>
      <c r="K529" s="14"/>
      <c r="L529" s="14"/>
      <c r="M529" s="14"/>
      <c r="N529" s="14"/>
      <c r="O529" s="14"/>
      <c r="P529" s="14"/>
      <c r="Q529" s="14"/>
      <c r="R529" s="23"/>
      <c r="S529" s="24"/>
      <c r="T529" s="25"/>
      <c r="U529" s="14"/>
      <c r="V529" s="14"/>
      <c r="W529" s="24"/>
      <c r="X529" s="14"/>
    </row>
    <row r="530">
      <c r="A530" s="14"/>
      <c r="B530" s="22"/>
      <c r="C530" s="14"/>
      <c r="D530" s="14"/>
      <c r="E530" s="14"/>
      <c r="F530" s="14"/>
      <c r="G530" s="14"/>
      <c r="H530" s="14"/>
      <c r="I530" s="14"/>
      <c r="J530" s="14"/>
      <c r="K530" s="14"/>
      <c r="L530" s="14"/>
      <c r="M530" s="14"/>
      <c r="N530" s="14"/>
      <c r="O530" s="14"/>
      <c r="P530" s="14"/>
      <c r="Q530" s="14"/>
      <c r="R530" s="23"/>
      <c r="S530" s="24"/>
      <c r="T530" s="25"/>
      <c r="U530" s="14"/>
      <c r="V530" s="14"/>
      <c r="W530" s="24"/>
      <c r="X530" s="14"/>
    </row>
    <row r="531">
      <c r="A531" s="14"/>
      <c r="B531" s="22"/>
      <c r="C531" s="14"/>
      <c r="D531" s="14"/>
      <c r="E531" s="14"/>
      <c r="F531" s="14"/>
      <c r="G531" s="14"/>
      <c r="H531" s="14"/>
      <c r="I531" s="14"/>
      <c r="J531" s="14"/>
      <c r="K531" s="14"/>
      <c r="L531" s="14"/>
      <c r="M531" s="14"/>
      <c r="N531" s="14"/>
      <c r="O531" s="14"/>
      <c r="P531" s="14"/>
      <c r="Q531" s="14"/>
      <c r="R531" s="23"/>
      <c r="S531" s="24"/>
      <c r="T531" s="25"/>
      <c r="U531" s="14"/>
      <c r="V531" s="14"/>
      <c r="W531" s="24"/>
      <c r="X531" s="14"/>
    </row>
    <row r="532">
      <c r="A532" s="14"/>
      <c r="B532" s="22"/>
      <c r="C532" s="14"/>
      <c r="D532" s="14"/>
      <c r="E532" s="14"/>
      <c r="F532" s="14"/>
      <c r="G532" s="14"/>
      <c r="H532" s="14"/>
      <c r="I532" s="14"/>
      <c r="J532" s="14"/>
      <c r="K532" s="14"/>
      <c r="L532" s="14"/>
      <c r="M532" s="14"/>
      <c r="N532" s="14"/>
      <c r="O532" s="14"/>
      <c r="P532" s="14"/>
      <c r="Q532" s="14"/>
      <c r="R532" s="23"/>
      <c r="S532" s="24"/>
      <c r="T532" s="25"/>
      <c r="U532" s="14"/>
      <c r="V532" s="14"/>
      <c r="W532" s="24"/>
      <c r="X532" s="14"/>
    </row>
    <row r="533">
      <c r="A533" s="14"/>
      <c r="B533" s="22"/>
      <c r="C533" s="14"/>
      <c r="D533" s="14"/>
      <c r="E533" s="14"/>
      <c r="F533" s="14"/>
      <c r="G533" s="14"/>
      <c r="H533" s="14"/>
      <c r="I533" s="14"/>
      <c r="J533" s="14"/>
      <c r="K533" s="14"/>
      <c r="L533" s="14"/>
      <c r="M533" s="14"/>
      <c r="N533" s="14"/>
      <c r="O533" s="14"/>
      <c r="P533" s="14"/>
      <c r="Q533" s="14"/>
      <c r="R533" s="23"/>
      <c r="S533" s="24"/>
      <c r="T533" s="25"/>
      <c r="U533" s="14"/>
      <c r="V533" s="14"/>
      <c r="W533" s="24"/>
      <c r="X533" s="14"/>
    </row>
    <row r="534">
      <c r="A534" s="14"/>
      <c r="B534" s="22"/>
      <c r="C534" s="14"/>
      <c r="D534" s="14"/>
      <c r="E534" s="14"/>
      <c r="F534" s="14"/>
      <c r="G534" s="14"/>
      <c r="H534" s="14"/>
      <c r="I534" s="14"/>
      <c r="J534" s="14"/>
      <c r="K534" s="14"/>
      <c r="L534" s="14"/>
      <c r="M534" s="14"/>
      <c r="N534" s="14"/>
      <c r="O534" s="14"/>
      <c r="P534" s="14"/>
      <c r="Q534" s="14"/>
      <c r="R534" s="23"/>
      <c r="S534" s="24"/>
      <c r="T534" s="25"/>
      <c r="U534" s="14"/>
      <c r="V534" s="14"/>
      <c r="W534" s="24"/>
      <c r="X534" s="14"/>
    </row>
    <row r="535">
      <c r="A535" s="14"/>
      <c r="B535" s="22"/>
      <c r="C535" s="14"/>
      <c r="D535" s="14"/>
      <c r="E535" s="14"/>
      <c r="F535" s="14"/>
      <c r="G535" s="14"/>
      <c r="H535" s="14"/>
      <c r="I535" s="14"/>
      <c r="J535" s="14"/>
      <c r="K535" s="14"/>
      <c r="L535" s="14"/>
      <c r="M535" s="14"/>
      <c r="N535" s="14"/>
      <c r="O535" s="14"/>
      <c r="P535" s="14"/>
      <c r="Q535" s="14"/>
      <c r="R535" s="23"/>
      <c r="S535" s="24"/>
      <c r="T535" s="25"/>
      <c r="U535" s="14"/>
      <c r="V535" s="14"/>
      <c r="W535" s="24"/>
      <c r="X535" s="14"/>
    </row>
    <row r="536">
      <c r="A536" s="14"/>
      <c r="B536" s="22"/>
      <c r="C536" s="14"/>
      <c r="D536" s="14"/>
      <c r="E536" s="14"/>
      <c r="F536" s="14"/>
      <c r="G536" s="14"/>
      <c r="H536" s="14"/>
      <c r="I536" s="14"/>
      <c r="J536" s="14"/>
      <c r="K536" s="14"/>
      <c r="L536" s="14"/>
      <c r="M536" s="14"/>
      <c r="N536" s="14"/>
      <c r="O536" s="14"/>
      <c r="P536" s="14"/>
      <c r="Q536" s="14"/>
      <c r="R536" s="23"/>
      <c r="S536" s="24"/>
      <c r="T536" s="25"/>
      <c r="U536" s="14"/>
      <c r="V536" s="14"/>
      <c r="W536" s="24"/>
      <c r="X536" s="14"/>
    </row>
    <row r="537">
      <c r="A537" s="14"/>
      <c r="B537" s="22"/>
      <c r="C537" s="14"/>
      <c r="D537" s="14"/>
      <c r="E537" s="14"/>
      <c r="F537" s="14"/>
      <c r="G537" s="14"/>
      <c r="H537" s="14"/>
      <c r="I537" s="14"/>
      <c r="J537" s="14"/>
      <c r="K537" s="14"/>
      <c r="L537" s="14"/>
      <c r="M537" s="14"/>
      <c r="N537" s="14"/>
      <c r="O537" s="14"/>
      <c r="P537" s="14"/>
      <c r="Q537" s="14"/>
      <c r="R537" s="23"/>
      <c r="S537" s="24"/>
      <c r="T537" s="25"/>
      <c r="U537" s="14"/>
      <c r="V537" s="14"/>
      <c r="W537" s="24"/>
      <c r="X537" s="14"/>
    </row>
    <row r="538">
      <c r="A538" s="14"/>
      <c r="B538" s="22"/>
      <c r="C538" s="14"/>
      <c r="D538" s="14"/>
      <c r="E538" s="14"/>
      <c r="F538" s="14"/>
      <c r="G538" s="14"/>
      <c r="H538" s="14"/>
      <c r="I538" s="14"/>
      <c r="J538" s="14"/>
      <c r="K538" s="14"/>
      <c r="L538" s="14"/>
      <c r="M538" s="14"/>
      <c r="N538" s="14"/>
      <c r="O538" s="14"/>
      <c r="P538" s="14"/>
      <c r="Q538" s="14"/>
      <c r="R538" s="23"/>
      <c r="S538" s="24"/>
      <c r="T538" s="25"/>
      <c r="U538" s="14"/>
      <c r="V538" s="14"/>
      <c r="W538" s="24"/>
      <c r="X538" s="14"/>
    </row>
    <row r="539">
      <c r="A539" s="14"/>
      <c r="B539" s="22"/>
      <c r="C539" s="14"/>
      <c r="D539" s="14"/>
      <c r="E539" s="14"/>
      <c r="F539" s="14"/>
      <c r="G539" s="14"/>
      <c r="H539" s="14"/>
      <c r="I539" s="14"/>
      <c r="J539" s="14"/>
      <c r="K539" s="14"/>
      <c r="L539" s="14"/>
      <c r="M539" s="14"/>
      <c r="N539" s="14"/>
      <c r="O539" s="14"/>
      <c r="P539" s="14"/>
      <c r="Q539" s="14"/>
      <c r="R539" s="23"/>
      <c r="S539" s="24"/>
      <c r="T539" s="25"/>
      <c r="U539" s="14"/>
      <c r="V539" s="14"/>
      <c r="W539" s="24"/>
      <c r="X539" s="14"/>
    </row>
    <row r="540">
      <c r="A540" s="14"/>
      <c r="B540" s="22"/>
      <c r="C540" s="14"/>
      <c r="D540" s="14"/>
      <c r="E540" s="14"/>
      <c r="F540" s="14"/>
      <c r="G540" s="14"/>
      <c r="H540" s="14"/>
      <c r="I540" s="14"/>
      <c r="J540" s="14"/>
      <c r="K540" s="14"/>
      <c r="L540" s="14"/>
      <c r="M540" s="14"/>
      <c r="N540" s="14"/>
      <c r="O540" s="14"/>
      <c r="P540" s="14"/>
      <c r="Q540" s="14"/>
      <c r="R540" s="23"/>
      <c r="S540" s="24"/>
      <c r="T540" s="25"/>
      <c r="U540" s="14"/>
      <c r="V540" s="14"/>
      <c r="W540" s="24"/>
      <c r="X540" s="14"/>
    </row>
    <row r="541">
      <c r="A541" s="14"/>
      <c r="B541" s="22"/>
      <c r="C541" s="14"/>
      <c r="D541" s="14"/>
      <c r="E541" s="14"/>
      <c r="F541" s="14"/>
      <c r="G541" s="14"/>
      <c r="H541" s="14"/>
      <c r="I541" s="14"/>
      <c r="J541" s="14"/>
      <c r="K541" s="14"/>
      <c r="L541" s="14"/>
      <c r="M541" s="14"/>
      <c r="N541" s="14"/>
      <c r="O541" s="14"/>
      <c r="P541" s="14"/>
      <c r="Q541" s="14"/>
      <c r="R541" s="23"/>
      <c r="S541" s="24"/>
      <c r="T541" s="25"/>
      <c r="U541" s="14"/>
      <c r="V541" s="14"/>
      <c r="W541" s="24"/>
      <c r="X541" s="14"/>
    </row>
    <row r="542">
      <c r="A542" s="14"/>
      <c r="B542" s="22"/>
      <c r="C542" s="14"/>
      <c r="D542" s="14"/>
      <c r="E542" s="14"/>
      <c r="F542" s="14"/>
      <c r="G542" s="14"/>
      <c r="H542" s="14"/>
      <c r="I542" s="14"/>
      <c r="J542" s="14"/>
      <c r="K542" s="14"/>
      <c r="L542" s="14"/>
      <c r="M542" s="14"/>
      <c r="N542" s="14"/>
      <c r="O542" s="14"/>
      <c r="P542" s="14"/>
      <c r="Q542" s="14"/>
      <c r="R542" s="23"/>
      <c r="S542" s="24"/>
      <c r="T542" s="25"/>
      <c r="U542" s="14"/>
      <c r="V542" s="14"/>
      <c r="W542" s="24"/>
      <c r="X542" s="14"/>
    </row>
    <row r="543">
      <c r="A543" s="14"/>
      <c r="B543" s="22"/>
      <c r="C543" s="14"/>
      <c r="D543" s="14"/>
      <c r="E543" s="14"/>
      <c r="F543" s="14"/>
      <c r="G543" s="14"/>
      <c r="H543" s="14"/>
      <c r="I543" s="14"/>
      <c r="J543" s="14"/>
      <c r="K543" s="14"/>
      <c r="L543" s="14"/>
      <c r="M543" s="14"/>
      <c r="N543" s="14"/>
      <c r="O543" s="14"/>
      <c r="P543" s="14"/>
      <c r="Q543" s="14"/>
      <c r="R543" s="23"/>
      <c r="S543" s="24"/>
      <c r="T543" s="25"/>
      <c r="U543" s="14"/>
      <c r="V543" s="14"/>
      <c r="W543" s="24"/>
      <c r="X543" s="14"/>
    </row>
    <row r="544">
      <c r="A544" s="14"/>
      <c r="B544" s="22"/>
      <c r="C544" s="14"/>
      <c r="D544" s="14"/>
      <c r="E544" s="14"/>
      <c r="F544" s="14"/>
      <c r="G544" s="14"/>
      <c r="H544" s="14"/>
      <c r="I544" s="14"/>
      <c r="J544" s="14"/>
      <c r="K544" s="14"/>
      <c r="L544" s="14"/>
      <c r="M544" s="14"/>
      <c r="N544" s="14"/>
      <c r="O544" s="14"/>
      <c r="P544" s="14"/>
      <c r="Q544" s="14"/>
      <c r="R544" s="23"/>
      <c r="S544" s="24"/>
      <c r="T544" s="25"/>
      <c r="U544" s="14"/>
      <c r="V544" s="14"/>
      <c r="W544" s="24"/>
      <c r="X544" s="14"/>
    </row>
    <row r="545">
      <c r="A545" s="14"/>
      <c r="B545" s="22"/>
      <c r="C545" s="14"/>
      <c r="D545" s="14"/>
      <c r="E545" s="14"/>
      <c r="F545" s="14"/>
      <c r="G545" s="14"/>
      <c r="H545" s="14"/>
      <c r="I545" s="14"/>
      <c r="J545" s="14"/>
      <c r="K545" s="14"/>
      <c r="L545" s="14"/>
      <c r="M545" s="14"/>
      <c r="N545" s="14"/>
      <c r="O545" s="14"/>
      <c r="P545" s="14"/>
      <c r="Q545" s="14"/>
      <c r="R545" s="23"/>
      <c r="S545" s="24"/>
      <c r="T545" s="25"/>
      <c r="U545" s="14"/>
      <c r="V545" s="14"/>
      <c r="W545" s="24"/>
      <c r="X545" s="14"/>
    </row>
    <row r="546">
      <c r="A546" s="14"/>
      <c r="B546" s="22"/>
      <c r="C546" s="14"/>
      <c r="D546" s="14"/>
      <c r="E546" s="14"/>
      <c r="F546" s="14"/>
      <c r="G546" s="14"/>
      <c r="H546" s="14"/>
      <c r="I546" s="14"/>
      <c r="J546" s="14"/>
      <c r="K546" s="14"/>
      <c r="L546" s="14"/>
      <c r="M546" s="14"/>
      <c r="N546" s="14"/>
      <c r="O546" s="14"/>
      <c r="P546" s="14"/>
      <c r="Q546" s="14"/>
      <c r="R546" s="23"/>
      <c r="S546" s="24"/>
      <c r="T546" s="25"/>
      <c r="U546" s="14"/>
      <c r="V546" s="14"/>
      <c r="W546" s="24"/>
      <c r="X546" s="14"/>
    </row>
    <row r="547">
      <c r="A547" s="14"/>
      <c r="B547" s="22"/>
      <c r="C547" s="14"/>
      <c r="D547" s="14"/>
      <c r="E547" s="14"/>
      <c r="F547" s="14"/>
      <c r="G547" s="14"/>
      <c r="H547" s="14"/>
      <c r="I547" s="14"/>
      <c r="J547" s="14"/>
      <c r="K547" s="14"/>
      <c r="L547" s="14"/>
      <c r="M547" s="14"/>
      <c r="N547" s="14"/>
      <c r="O547" s="14"/>
      <c r="P547" s="14"/>
      <c r="Q547" s="14"/>
      <c r="R547" s="23"/>
      <c r="S547" s="24"/>
      <c r="T547" s="25"/>
      <c r="U547" s="14"/>
      <c r="V547" s="14"/>
      <c r="W547" s="24"/>
      <c r="X547" s="14"/>
    </row>
    <row r="548">
      <c r="A548" s="14"/>
      <c r="B548" s="22"/>
      <c r="C548" s="14"/>
      <c r="D548" s="14"/>
      <c r="E548" s="14"/>
      <c r="F548" s="14"/>
      <c r="G548" s="14"/>
      <c r="H548" s="14"/>
      <c r="I548" s="14"/>
      <c r="J548" s="14"/>
      <c r="K548" s="14"/>
      <c r="L548" s="14"/>
      <c r="M548" s="14"/>
      <c r="N548" s="14"/>
      <c r="O548" s="14"/>
      <c r="P548" s="14"/>
      <c r="Q548" s="14"/>
      <c r="R548" s="23"/>
      <c r="S548" s="24"/>
      <c r="T548" s="25"/>
      <c r="U548" s="14"/>
      <c r="V548" s="14"/>
      <c r="W548" s="24"/>
      <c r="X548" s="14"/>
    </row>
    <row r="549">
      <c r="A549" s="14"/>
      <c r="B549" s="22"/>
      <c r="C549" s="14"/>
      <c r="D549" s="14"/>
      <c r="E549" s="14"/>
      <c r="F549" s="14"/>
      <c r="G549" s="14"/>
      <c r="H549" s="14"/>
      <c r="I549" s="14"/>
      <c r="J549" s="14"/>
      <c r="K549" s="14"/>
      <c r="L549" s="14"/>
      <c r="M549" s="14"/>
      <c r="N549" s="14"/>
      <c r="O549" s="14"/>
      <c r="P549" s="14"/>
      <c r="Q549" s="14"/>
      <c r="R549" s="23"/>
      <c r="S549" s="24"/>
      <c r="T549" s="25"/>
      <c r="U549" s="14"/>
      <c r="V549" s="14"/>
      <c r="W549" s="24"/>
      <c r="X549" s="14"/>
    </row>
    <row r="550">
      <c r="A550" s="14"/>
      <c r="B550" s="22"/>
      <c r="C550" s="14"/>
      <c r="D550" s="14"/>
      <c r="E550" s="14"/>
      <c r="F550" s="14"/>
      <c r="G550" s="14"/>
      <c r="H550" s="14"/>
      <c r="I550" s="14"/>
      <c r="J550" s="14"/>
      <c r="K550" s="14"/>
      <c r="L550" s="14"/>
      <c r="M550" s="14"/>
      <c r="N550" s="14"/>
      <c r="O550" s="14"/>
      <c r="P550" s="14"/>
      <c r="Q550" s="14"/>
      <c r="R550" s="23"/>
      <c r="S550" s="24"/>
      <c r="T550" s="25"/>
      <c r="U550" s="14"/>
      <c r="V550" s="14"/>
      <c r="W550" s="24"/>
      <c r="X550" s="14"/>
    </row>
    <row r="551">
      <c r="A551" s="14"/>
      <c r="B551" s="22"/>
      <c r="C551" s="14"/>
      <c r="D551" s="14"/>
      <c r="E551" s="14"/>
      <c r="F551" s="14"/>
      <c r="G551" s="14"/>
      <c r="H551" s="14"/>
      <c r="I551" s="14"/>
      <c r="J551" s="14"/>
      <c r="K551" s="14"/>
      <c r="L551" s="14"/>
      <c r="M551" s="14"/>
      <c r="N551" s="14"/>
      <c r="O551" s="14"/>
      <c r="P551" s="14"/>
      <c r="Q551" s="14"/>
      <c r="R551" s="23"/>
      <c r="S551" s="24"/>
      <c r="T551" s="25"/>
      <c r="U551" s="14"/>
      <c r="V551" s="14"/>
      <c r="W551" s="24"/>
      <c r="X551" s="14"/>
    </row>
    <row r="552">
      <c r="A552" s="14"/>
      <c r="B552" s="22"/>
      <c r="C552" s="14"/>
      <c r="D552" s="14"/>
      <c r="E552" s="14"/>
      <c r="F552" s="14"/>
      <c r="G552" s="14"/>
      <c r="H552" s="14"/>
      <c r="I552" s="14"/>
      <c r="J552" s="14"/>
      <c r="K552" s="14"/>
      <c r="L552" s="14"/>
      <c r="M552" s="14"/>
      <c r="N552" s="14"/>
      <c r="O552" s="14"/>
      <c r="P552" s="14"/>
      <c r="Q552" s="14"/>
      <c r="R552" s="23"/>
      <c r="S552" s="24"/>
      <c r="T552" s="25"/>
      <c r="U552" s="14"/>
      <c r="V552" s="14"/>
      <c r="W552" s="24"/>
      <c r="X552" s="14"/>
    </row>
    <row r="553">
      <c r="A553" s="14"/>
      <c r="B553" s="22"/>
      <c r="C553" s="14"/>
      <c r="D553" s="14"/>
      <c r="E553" s="14"/>
      <c r="F553" s="14"/>
      <c r="G553" s="14"/>
      <c r="H553" s="14"/>
      <c r="I553" s="14"/>
      <c r="J553" s="14"/>
      <c r="K553" s="14"/>
      <c r="L553" s="14"/>
      <c r="M553" s="14"/>
      <c r="N553" s="14"/>
      <c r="O553" s="14"/>
      <c r="P553" s="14"/>
      <c r="Q553" s="14"/>
      <c r="R553" s="23"/>
      <c r="S553" s="24"/>
      <c r="T553" s="25"/>
      <c r="U553" s="14"/>
      <c r="V553" s="14"/>
      <c r="W553" s="24"/>
      <c r="X553" s="14"/>
    </row>
    <row r="554">
      <c r="A554" s="14"/>
      <c r="B554" s="22"/>
      <c r="C554" s="14"/>
      <c r="D554" s="14"/>
      <c r="E554" s="14"/>
      <c r="F554" s="14"/>
      <c r="G554" s="14"/>
      <c r="H554" s="14"/>
      <c r="I554" s="14"/>
      <c r="J554" s="14"/>
      <c r="K554" s="14"/>
      <c r="L554" s="14"/>
      <c r="M554" s="14"/>
      <c r="N554" s="14"/>
      <c r="O554" s="14"/>
      <c r="P554" s="14"/>
      <c r="Q554" s="14"/>
      <c r="R554" s="23"/>
      <c r="S554" s="24"/>
      <c r="T554" s="25"/>
      <c r="U554" s="14"/>
      <c r="V554" s="14"/>
      <c r="W554" s="24"/>
      <c r="X554" s="14"/>
    </row>
    <row r="555">
      <c r="A555" s="14"/>
      <c r="B555" s="22"/>
      <c r="C555" s="14"/>
      <c r="D555" s="14"/>
      <c r="E555" s="14"/>
      <c r="F555" s="14"/>
      <c r="G555" s="14"/>
      <c r="H555" s="14"/>
      <c r="I555" s="14"/>
      <c r="J555" s="14"/>
      <c r="K555" s="14"/>
      <c r="L555" s="14"/>
      <c r="M555" s="14"/>
      <c r="N555" s="14"/>
      <c r="O555" s="14"/>
      <c r="P555" s="14"/>
      <c r="Q555" s="14"/>
      <c r="R555" s="23"/>
      <c r="S555" s="24"/>
      <c r="T555" s="25"/>
      <c r="U555" s="14"/>
      <c r="V555" s="14"/>
      <c r="W555" s="24"/>
      <c r="X555" s="14"/>
    </row>
    <row r="556">
      <c r="A556" s="14"/>
      <c r="B556" s="22"/>
      <c r="C556" s="14"/>
      <c r="D556" s="14"/>
      <c r="E556" s="14"/>
      <c r="F556" s="14"/>
      <c r="G556" s="14"/>
      <c r="H556" s="14"/>
      <c r="I556" s="14"/>
      <c r="J556" s="14"/>
      <c r="K556" s="14"/>
      <c r="L556" s="14"/>
      <c r="M556" s="14"/>
      <c r="N556" s="14"/>
      <c r="O556" s="14"/>
      <c r="P556" s="14"/>
      <c r="Q556" s="14"/>
      <c r="R556" s="23"/>
      <c r="S556" s="24"/>
      <c r="T556" s="25"/>
      <c r="U556" s="14"/>
      <c r="V556" s="14"/>
      <c r="W556" s="24"/>
      <c r="X556" s="14"/>
    </row>
    <row r="557">
      <c r="A557" s="14"/>
      <c r="B557" s="22"/>
      <c r="C557" s="14"/>
      <c r="D557" s="14"/>
      <c r="E557" s="14"/>
      <c r="F557" s="14"/>
      <c r="G557" s="14"/>
      <c r="H557" s="14"/>
      <c r="I557" s="14"/>
      <c r="J557" s="14"/>
      <c r="K557" s="14"/>
      <c r="L557" s="14"/>
      <c r="M557" s="14"/>
      <c r="N557" s="14"/>
      <c r="O557" s="14"/>
      <c r="P557" s="14"/>
      <c r="Q557" s="14"/>
      <c r="R557" s="23"/>
      <c r="S557" s="24"/>
      <c r="T557" s="25"/>
      <c r="U557" s="14"/>
      <c r="V557" s="14"/>
      <c r="W557" s="24"/>
      <c r="X557" s="14"/>
    </row>
    <row r="558">
      <c r="A558" s="14"/>
      <c r="B558" s="22"/>
      <c r="C558" s="14"/>
      <c r="D558" s="14"/>
      <c r="E558" s="14"/>
      <c r="F558" s="14"/>
      <c r="G558" s="14"/>
      <c r="H558" s="14"/>
      <c r="I558" s="14"/>
      <c r="J558" s="14"/>
      <c r="K558" s="14"/>
      <c r="L558" s="14"/>
      <c r="M558" s="14"/>
      <c r="N558" s="14"/>
      <c r="O558" s="14"/>
      <c r="P558" s="14"/>
      <c r="Q558" s="14"/>
      <c r="R558" s="23"/>
      <c r="S558" s="24"/>
      <c r="T558" s="25"/>
      <c r="U558" s="14"/>
      <c r="V558" s="14"/>
      <c r="W558" s="24"/>
      <c r="X558" s="14"/>
    </row>
    <row r="559">
      <c r="A559" s="14"/>
      <c r="B559" s="22"/>
      <c r="C559" s="14"/>
      <c r="D559" s="14"/>
      <c r="E559" s="14"/>
      <c r="F559" s="14"/>
      <c r="G559" s="14"/>
      <c r="H559" s="14"/>
      <c r="I559" s="14"/>
      <c r="J559" s="14"/>
      <c r="K559" s="14"/>
      <c r="L559" s="14"/>
      <c r="M559" s="14"/>
      <c r="N559" s="14"/>
      <c r="O559" s="14"/>
      <c r="P559" s="14"/>
      <c r="Q559" s="14"/>
      <c r="R559" s="23"/>
      <c r="S559" s="24"/>
      <c r="T559" s="25"/>
      <c r="U559" s="14"/>
      <c r="V559" s="14"/>
      <c r="W559" s="24"/>
      <c r="X559" s="14"/>
    </row>
    <row r="560">
      <c r="A560" s="14"/>
      <c r="B560" s="22"/>
      <c r="C560" s="14"/>
      <c r="D560" s="14"/>
      <c r="E560" s="14"/>
      <c r="F560" s="14"/>
      <c r="G560" s="14"/>
      <c r="H560" s="14"/>
      <c r="I560" s="14"/>
      <c r="J560" s="14"/>
      <c r="K560" s="14"/>
      <c r="L560" s="14"/>
      <c r="M560" s="14"/>
      <c r="N560" s="14"/>
      <c r="O560" s="14"/>
      <c r="P560" s="14"/>
      <c r="Q560" s="14"/>
      <c r="R560" s="23"/>
      <c r="S560" s="24"/>
      <c r="T560" s="25"/>
      <c r="U560" s="14"/>
      <c r="V560" s="14"/>
      <c r="W560" s="24"/>
      <c r="X560" s="14"/>
    </row>
    <row r="561">
      <c r="A561" s="14"/>
      <c r="B561" s="22"/>
      <c r="C561" s="14"/>
      <c r="D561" s="14"/>
      <c r="E561" s="14"/>
      <c r="F561" s="14"/>
      <c r="G561" s="14"/>
      <c r="H561" s="14"/>
      <c r="I561" s="14"/>
      <c r="J561" s="14"/>
      <c r="K561" s="14"/>
      <c r="L561" s="14"/>
      <c r="M561" s="14"/>
      <c r="N561" s="14"/>
      <c r="O561" s="14"/>
      <c r="P561" s="14"/>
      <c r="Q561" s="14"/>
      <c r="R561" s="23"/>
      <c r="S561" s="24"/>
      <c r="T561" s="25"/>
      <c r="U561" s="14"/>
      <c r="V561" s="14"/>
      <c r="W561" s="24"/>
      <c r="X561" s="14"/>
    </row>
    <row r="562">
      <c r="A562" s="14"/>
      <c r="B562" s="22"/>
      <c r="C562" s="14"/>
      <c r="D562" s="14"/>
      <c r="E562" s="14"/>
      <c r="F562" s="14"/>
      <c r="G562" s="14"/>
      <c r="H562" s="14"/>
      <c r="I562" s="14"/>
      <c r="J562" s="14"/>
      <c r="K562" s="14"/>
      <c r="L562" s="14"/>
      <c r="M562" s="14"/>
      <c r="N562" s="14"/>
      <c r="O562" s="14"/>
      <c r="P562" s="14"/>
      <c r="Q562" s="14"/>
      <c r="R562" s="23"/>
      <c r="S562" s="24"/>
      <c r="T562" s="25"/>
      <c r="U562" s="14"/>
      <c r="V562" s="14"/>
      <c r="W562" s="24"/>
      <c r="X562" s="14"/>
    </row>
    <row r="563">
      <c r="A563" s="14"/>
      <c r="B563" s="22"/>
      <c r="C563" s="14"/>
      <c r="D563" s="14"/>
      <c r="E563" s="14"/>
      <c r="F563" s="14"/>
      <c r="G563" s="14"/>
      <c r="H563" s="14"/>
      <c r="I563" s="14"/>
      <c r="J563" s="14"/>
      <c r="K563" s="14"/>
      <c r="L563" s="14"/>
      <c r="M563" s="14"/>
      <c r="N563" s="14"/>
      <c r="O563" s="14"/>
      <c r="P563" s="14"/>
      <c r="Q563" s="14"/>
      <c r="R563" s="23"/>
      <c r="S563" s="24"/>
      <c r="T563" s="25"/>
      <c r="U563" s="14"/>
      <c r="V563" s="14"/>
      <c r="W563" s="24"/>
      <c r="X563" s="14"/>
    </row>
    <row r="564">
      <c r="A564" s="14"/>
      <c r="B564" s="22"/>
      <c r="C564" s="14"/>
      <c r="D564" s="14"/>
      <c r="E564" s="14"/>
      <c r="F564" s="14"/>
      <c r="G564" s="14"/>
      <c r="H564" s="14"/>
      <c r="I564" s="14"/>
      <c r="J564" s="14"/>
      <c r="K564" s="14"/>
      <c r="L564" s="14"/>
      <c r="M564" s="14"/>
      <c r="N564" s="14"/>
      <c r="O564" s="14"/>
      <c r="P564" s="14"/>
      <c r="Q564" s="14"/>
      <c r="R564" s="23"/>
      <c r="S564" s="24"/>
      <c r="T564" s="25"/>
      <c r="U564" s="14"/>
      <c r="V564" s="14"/>
      <c r="W564" s="24"/>
      <c r="X564" s="14"/>
    </row>
    <row r="565">
      <c r="A565" s="14"/>
      <c r="B565" s="22"/>
      <c r="C565" s="14"/>
      <c r="D565" s="14"/>
      <c r="E565" s="14"/>
      <c r="F565" s="14"/>
      <c r="G565" s="14"/>
      <c r="H565" s="14"/>
      <c r="I565" s="14"/>
      <c r="J565" s="14"/>
      <c r="K565" s="14"/>
      <c r="L565" s="14"/>
      <c r="M565" s="14"/>
      <c r="N565" s="14"/>
      <c r="O565" s="14"/>
      <c r="P565" s="14"/>
      <c r="Q565" s="14"/>
      <c r="R565" s="23"/>
      <c r="S565" s="24"/>
      <c r="T565" s="25"/>
      <c r="U565" s="14"/>
      <c r="V565" s="14"/>
      <c r="W565" s="24"/>
      <c r="X565" s="14"/>
    </row>
    <row r="566">
      <c r="A566" s="14"/>
      <c r="B566" s="22"/>
      <c r="C566" s="14"/>
      <c r="D566" s="14"/>
      <c r="E566" s="14"/>
      <c r="F566" s="14"/>
      <c r="G566" s="14"/>
      <c r="H566" s="14"/>
      <c r="I566" s="14"/>
      <c r="J566" s="14"/>
      <c r="K566" s="14"/>
      <c r="L566" s="14"/>
      <c r="M566" s="14"/>
      <c r="N566" s="14"/>
      <c r="O566" s="14"/>
      <c r="P566" s="14"/>
      <c r="Q566" s="14"/>
      <c r="R566" s="23"/>
      <c r="S566" s="24"/>
      <c r="T566" s="25"/>
      <c r="U566" s="14"/>
      <c r="V566" s="14"/>
      <c r="W566" s="24"/>
      <c r="X566" s="14"/>
    </row>
    <row r="567">
      <c r="A567" s="14"/>
      <c r="B567" s="22"/>
      <c r="C567" s="14"/>
      <c r="D567" s="14"/>
      <c r="E567" s="14"/>
      <c r="F567" s="14"/>
      <c r="G567" s="14"/>
      <c r="H567" s="14"/>
      <c r="I567" s="14"/>
      <c r="J567" s="14"/>
      <c r="K567" s="14"/>
      <c r="L567" s="14"/>
      <c r="M567" s="14"/>
      <c r="N567" s="14"/>
      <c r="O567" s="14"/>
      <c r="P567" s="14"/>
      <c r="Q567" s="14"/>
      <c r="R567" s="23"/>
      <c r="S567" s="24"/>
      <c r="T567" s="25"/>
      <c r="U567" s="14"/>
      <c r="V567" s="14"/>
      <c r="W567" s="24"/>
      <c r="X567" s="14"/>
    </row>
    <row r="568">
      <c r="A568" s="14"/>
      <c r="B568" s="22"/>
      <c r="C568" s="14"/>
      <c r="D568" s="14"/>
      <c r="E568" s="14"/>
      <c r="F568" s="14"/>
      <c r="G568" s="14"/>
      <c r="H568" s="14"/>
      <c r="I568" s="14"/>
      <c r="J568" s="14"/>
      <c r="K568" s="14"/>
      <c r="L568" s="14"/>
      <c r="M568" s="14"/>
      <c r="N568" s="14"/>
      <c r="O568" s="14"/>
      <c r="P568" s="14"/>
      <c r="Q568" s="14"/>
      <c r="R568" s="23"/>
      <c r="S568" s="24"/>
      <c r="T568" s="25"/>
      <c r="U568" s="14"/>
      <c r="V568" s="14"/>
      <c r="W568" s="24"/>
      <c r="X568" s="14"/>
    </row>
    <row r="569">
      <c r="A569" s="14"/>
      <c r="B569" s="22"/>
      <c r="C569" s="14"/>
      <c r="D569" s="14"/>
      <c r="E569" s="14"/>
      <c r="F569" s="14"/>
      <c r="G569" s="14"/>
      <c r="H569" s="14"/>
      <c r="I569" s="14"/>
      <c r="J569" s="14"/>
      <c r="K569" s="14"/>
      <c r="L569" s="14"/>
      <c r="M569" s="14"/>
      <c r="N569" s="14"/>
      <c r="O569" s="14"/>
      <c r="P569" s="14"/>
      <c r="Q569" s="14"/>
      <c r="R569" s="23"/>
      <c r="S569" s="24"/>
      <c r="T569" s="25"/>
      <c r="U569" s="14"/>
      <c r="V569" s="14"/>
      <c r="W569" s="24"/>
      <c r="X569" s="14"/>
    </row>
    <row r="570">
      <c r="A570" s="14"/>
      <c r="B570" s="22"/>
      <c r="C570" s="14"/>
      <c r="D570" s="14"/>
      <c r="E570" s="14"/>
      <c r="F570" s="14"/>
      <c r="G570" s="14"/>
      <c r="H570" s="14"/>
      <c r="I570" s="14"/>
      <c r="J570" s="14"/>
      <c r="K570" s="14"/>
      <c r="L570" s="14"/>
      <c r="M570" s="14"/>
      <c r="N570" s="14"/>
      <c r="O570" s="14"/>
      <c r="P570" s="14"/>
      <c r="Q570" s="14"/>
      <c r="R570" s="23"/>
      <c r="S570" s="24"/>
      <c r="T570" s="25"/>
      <c r="U570" s="14"/>
      <c r="V570" s="14"/>
      <c r="W570" s="24"/>
      <c r="X570" s="14"/>
    </row>
    <row r="571">
      <c r="A571" s="14"/>
      <c r="B571" s="22"/>
      <c r="C571" s="14"/>
      <c r="D571" s="14"/>
      <c r="E571" s="14"/>
      <c r="F571" s="14"/>
      <c r="G571" s="14"/>
      <c r="H571" s="14"/>
      <c r="I571" s="14"/>
      <c r="J571" s="14"/>
      <c r="K571" s="14"/>
      <c r="L571" s="14"/>
      <c r="M571" s="14"/>
      <c r="N571" s="14"/>
      <c r="O571" s="14"/>
      <c r="P571" s="14"/>
      <c r="Q571" s="14"/>
      <c r="R571" s="23"/>
      <c r="S571" s="24"/>
      <c r="T571" s="25"/>
      <c r="U571" s="14"/>
      <c r="V571" s="14"/>
      <c r="W571" s="24"/>
      <c r="X571" s="14"/>
    </row>
    <row r="572">
      <c r="A572" s="14"/>
      <c r="B572" s="22"/>
      <c r="C572" s="14"/>
      <c r="D572" s="14"/>
      <c r="E572" s="14"/>
      <c r="F572" s="14"/>
      <c r="G572" s="14"/>
      <c r="H572" s="14"/>
      <c r="I572" s="14"/>
      <c r="J572" s="14"/>
      <c r="K572" s="14"/>
      <c r="L572" s="14"/>
      <c r="M572" s="14"/>
      <c r="N572" s="14"/>
      <c r="O572" s="14"/>
      <c r="P572" s="14"/>
      <c r="Q572" s="14"/>
      <c r="R572" s="23"/>
      <c r="S572" s="24"/>
      <c r="T572" s="25"/>
      <c r="U572" s="14"/>
      <c r="V572" s="14"/>
      <c r="W572" s="24"/>
      <c r="X572" s="14"/>
    </row>
    <row r="573">
      <c r="A573" s="14"/>
      <c r="B573" s="22"/>
      <c r="C573" s="14"/>
      <c r="D573" s="14"/>
      <c r="E573" s="14"/>
      <c r="F573" s="14"/>
      <c r="G573" s="14"/>
      <c r="H573" s="14"/>
      <c r="I573" s="14"/>
      <c r="J573" s="14"/>
      <c r="K573" s="14"/>
      <c r="L573" s="14"/>
      <c r="M573" s="14"/>
      <c r="N573" s="14"/>
      <c r="O573" s="14"/>
      <c r="P573" s="14"/>
      <c r="Q573" s="14"/>
      <c r="R573" s="23"/>
      <c r="S573" s="24"/>
      <c r="T573" s="25"/>
      <c r="U573" s="14"/>
      <c r="V573" s="14"/>
      <c r="W573" s="24"/>
      <c r="X573" s="14"/>
    </row>
    <row r="574">
      <c r="A574" s="14"/>
      <c r="B574" s="22"/>
      <c r="C574" s="14"/>
      <c r="D574" s="14"/>
      <c r="E574" s="14"/>
      <c r="F574" s="14"/>
      <c r="G574" s="14"/>
      <c r="H574" s="14"/>
      <c r="I574" s="14"/>
      <c r="J574" s="14"/>
      <c r="K574" s="14"/>
      <c r="L574" s="14"/>
      <c r="M574" s="14"/>
      <c r="N574" s="14"/>
      <c r="O574" s="14"/>
      <c r="P574" s="14"/>
      <c r="Q574" s="14"/>
      <c r="R574" s="23"/>
      <c r="S574" s="24"/>
      <c r="T574" s="25"/>
      <c r="U574" s="14"/>
      <c r="V574" s="14"/>
      <c r="W574" s="24"/>
      <c r="X574" s="14"/>
    </row>
    <row r="575">
      <c r="A575" s="14"/>
      <c r="B575" s="22"/>
      <c r="C575" s="14"/>
      <c r="D575" s="14"/>
      <c r="E575" s="14"/>
      <c r="F575" s="14"/>
      <c r="G575" s="14"/>
      <c r="H575" s="14"/>
      <c r="I575" s="14"/>
      <c r="J575" s="14"/>
      <c r="K575" s="14"/>
      <c r="L575" s="14"/>
      <c r="M575" s="14"/>
      <c r="N575" s="14"/>
      <c r="O575" s="14"/>
      <c r="P575" s="14"/>
      <c r="Q575" s="14"/>
      <c r="R575" s="23"/>
      <c r="S575" s="24"/>
      <c r="T575" s="25"/>
      <c r="U575" s="14"/>
      <c r="V575" s="14"/>
      <c r="W575" s="24"/>
      <c r="X575" s="14"/>
    </row>
    <row r="576">
      <c r="A576" s="14"/>
      <c r="B576" s="22"/>
      <c r="C576" s="14"/>
      <c r="D576" s="14"/>
      <c r="E576" s="14"/>
      <c r="F576" s="14"/>
      <c r="G576" s="14"/>
      <c r="H576" s="14"/>
      <c r="I576" s="14"/>
      <c r="J576" s="14"/>
      <c r="K576" s="14"/>
      <c r="L576" s="14"/>
      <c r="M576" s="14"/>
      <c r="N576" s="14"/>
      <c r="O576" s="14"/>
      <c r="P576" s="14"/>
      <c r="Q576" s="14"/>
      <c r="R576" s="23"/>
      <c r="S576" s="24"/>
      <c r="T576" s="25"/>
      <c r="U576" s="14"/>
      <c r="V576" s="14"/>
      <c r="W576" s="24"/>
      <c r="X576" s="14"/>
    </row>
    <row r="577">
      <c r="A577" s="14"/>
      <c r="B577" s="22"/>
      <c r="C577" s="14"/>
      <c r="D577" s="14"/>
      <c r="E577" s="14"/>
      <c r="F577" s="14"/>
      <c r="G577" s="14"/>
      <c r="H577" s="14"/>
      <c r="I577" s="14"/>
      <c r="J577" s="14"/>
      <c r="K577" s="14"/>
      <c r="L577" s="14"/>
      <c r="M577" s="14"/>
      <c r="N577" s="14"/>
      <c r="O577" s="14"/>
      <c r="P577" s="14"/>
      <c r="Q577" s="14"/>
      <c r="R577" s="23"/>
      <c r="S577" s="24"/>
      <c r="T577" s="25"/>
      <c r="U577" s="14"/>
      <c r="V577" s="14"/>
      <c r="W577" s="24"/>
      <c r="X577" s="14"/>
    </row>
    <row r="578">
      <c r="A578" s="14"/>
      <c r="B578" s="22"/>
      <c r="C578" s="14"/>
      <c r="D578" s="14"/>
      <c r="E578" s="14"/>
      <c r="F578" s="14"/>
      <c r="G578" s="14"/>
      <c r="H578" s="14"/>
      <c r="I578" s="14"/>
      <c r="J578" s="14"/>
      <c r="K578" s="14"/>
      <c r="L578" s="14"/>
      <c r="M578" s="14"/>
      <c r="N578" s="14"/>
      <c r="O578" s="14"/>
      <c r="P578" s="14"/>
      <c r="Q578" s="14"/>
      <c r="R578" s="23"/>
      <c r="S578" s="24"/>
      <c r="T578" s="25"/>
      <c r="U578" s="14"/>
      <c r="V578" s="14"/>
      <c r="W578" s="24"/>
      <c r="X578" s="14"/>
    </row>
    <row r="579">
      <c r="A579" s="14"/>
      <c r="B579" s="22"/>
      <c r="C579" s="14"/>
      <c r="D579" s="14"/>
      <c r="E579" s="14"/>
      <c r="F579" s="14"/>
      <c r="G579" s="14"/>
      <c r="H579" s="14"/>
      <c r="I579" s="14"/>
      <c r="J579" s="14"/>
      <c r="K579" s="14"/>
      <c r="L579" s="14"/>
      <c r="M579" s="14"/>
      <c r="N579" s="14"/>
      <c r="O579" s="14"/>
      <c r="P579" s="14"/>
      <c r="Q579" s="14"/>
      <c r="R579" s="23"/>
      <c r="S579" s="24"/>
      <c r="T579" s="25"/>
      <c r="U579" s="14"/>
      <c r="V579" s="14"/>
      <c r="W579" s="24"/>
      <c r="X579" s="14"/>
    </row>
    <row r="580">
      <c r="A580" s="14"/>
      <c r="B580" s="22"/>
      <c r="C580" s="14"/>
      <c r="D580" s="14"/>
      <c r="E580" s="14"/>
      <c r="F580" s="14"/>
      <c r="G580" s="14"/>
      <c r="H580" s="14"/>
      <c r="I580" s="14"/>
      <c r="J580" s="14"/>
      <c r="K580" s="14"/>
      <c r="L580" s="14"/>
      <c r="M580" s="14"/>
      <c r="N580" s="14"/>
      <c r="O580" s="14"/>
      <c r="P580" s="14"/>
      <c r="Q580" s="14"/>
      <c r="R580" s="23"/>
      <c r="S580" s="24"/>
      <c r="T580" s="25"/>
      <c r="U580" s="14"/>
      <c r="V580" s="14"/>
      <c r="W580" s="24"/>
      <c r="X580" s="14"/>
    </row>
    <row r="581">
      <c r="A581" s="14"/>
      <c r="B581" s="22"/>
      <c r="C581" s="14"/>
      <c r="D581" s="14"/>
      <c r="E581" s="14"/>
      <c r="F581" s="14"/>
      <c r="G581" s="14"/>
      <c r="H581" s="14"/>
      <c r="I581" s="14"/>
      <c r="J581" s="14"/>
      <c r="K581" s="14"/>
      <c r="L581" s="14"/>
      <c r="M581" s="14"/>
      <c r="N581" s="14"/>
      <c r="O581" s="14"/>
      <c r="P581" s="14"/>
      <c r="Q581" s="14"/>
      <c r="R581" s="23"/>
      <c r="S581" s="24"/>
      <c r="T581" s="25"/>
      <c r="U581" s="14"/>
      <c r="V581" s="14"/>
      <c r="W581" s="24"/>
      <c r="X581" s="14"/>
    </row>
    <row r="582">
      <c r="A582" s="14"/>
      <c r="B582" s="22"/>
      <c r="C582" s="14"/>
      <c r="D582" s="14"/>
      <c r="E582" s="14"/>
      <c r="F582" s="14"/>
      <c r="G582" s="14"/>
      <c r="H582" s="14"/>
      <c r="I582" s="14"/>
      <c r="J582" s="14"/>
      <c r="K582" s="14"/>
      <c r="L582" s="14"/>
      <c r="M582" s="14"/>
      <c r="N582" s="14"/>
      <c r="O582" s="14"/>
      <c r="P582" s="14"/>
      <c r="Q582" s="14"/>
      <c r="R582" s="23"/>
      <c r="S582" s="24"/>
      <c r="T582" s="25"/>
      <c r="U582" s="14"/>
      <c r="V582" s="14"/>
      <c r="W582" s="24"/>
      <c r="X582" s="14"/>
    </row>
    <row r="583">
      <c r="A583" s="14"/>
      <c r="B583" s="22"/>
      <c r="C583" s="14"/>
      <c r="D583" s="14"/>
      <c r="E583" s="14"/>
      <c r="F583" s="14"/>
      <c r="G583" s="14"/>
      <c r="H583" s="14"/>
      <c r="I583" s="14"/>
      <c r="J583" s="14"/>
      <c r="K583" s="14"/>
      <c r="L583" s="14"/>
      <c r="M583" s="14"/>
      <c r="N583" s="14"/>
      <c r="O583" s="14"/>
      <c r="P583" s="14"/>
      <c r="Q583" s="14"/>
      <c r="R583" s="23"/>
      <c r="S583" s="24"/>
      <c r="T583" s="25"/>
      <c r="U583" s="14"/>
      <c r="V583" s="14"/>
      <c r="W583" s="24"/>
      <c r="X583" s="14"/>
    </row>
    <row r="584">
      <c r="A584" s="14"/>
      <c r="B584" s="22"/>
      <c r="C584" s="14"/>
      <c r="D584" s="14"/>
      <c r="E584" s="14"/>
      <c r="F584" s="14"/>
      <c r="G584" s="14"/>
      <c r="H584" s="14"/>
      <c r="I584" s="14"/>
      <c r="J584" s="14"/>
      <c r="K584" s="14"/>
      <c r="L584" s="14"/>
      <c r="M584" s="14"/>
      <c r="N584" s="14"/>
      <c r="O584" s="14"/>
      <c r="P584" s="14"/>
      <c r="Q584" s="14"/>
      <c r="R584" s="23"/>
      <c r="S584" s="24"/>
      <c r="T584" s="25"/>
      <c r="U584" s="14"/>
      <c r="V584" s="14"/>
      <c r="W584" s="24"/>
      <c r="X584" s="14"/>
    </row>
    <row r="585">
      <c r="A585" s="14"/>
      <c r="B585" s="22"/>
      <c r="C585" s="14"/>
      <c r="D585" s="14"/>
      <c r="E585" s="14"/>
      <c r="F585" s="14"/>
      <c r="G585" s="14"/>
      <c r="H585" s="14"/>
      <c r="I585" s="14"/>
      <c r="J585" s="14"/>
      <c r="K585" s="14"/>
      <c r="L585" s="14"/>
      <c r="M585" s="14"/>
      <c r="N585" s="14"/>
      <c r="O585" s="14"/>
      <c r="P585" s="14"/>
      <c r="Q585" s="14"/>
      <c r="R585" s="23"/>
      <c r="S585" s="24"/>
      <c r="T585" s="25"/>
      <c r="U585" s="14"/>
      <c r="V585" s="14"/>
      <c r="W585" s="24"/>
      <c r="X585" s="14"/>
    </row>
    <row r="586">
      <c r="A586" s="14"/>
      <c r="B586" s="22"/>
      <c r="C586" s="14"/>
      <c r="D586" s="14"/>
      <c r="E586" s="14"/>
      <c r="F586" s="14"/>
      <c r="G586" s="14"/>
      <c r="H586" s="14"/>
      <c r="I586" s="14"/>
      <c r="J586" s="14"/>
      <c r="K586" s="14"/>
      <c r="L586" s="14"/>
      <c r="M586" s="14"/>
      <c r="N586" s="14"/>
      <c r="O586" s="14"/>
      <c r="P586" s="14"/>
      <c r="Q586" s="14"/>
      <c r="R586" s="23"/>
      <c r="S586" s="24"/>
      <c r="T586" s="25"/>
      <c r="U586" s="14"/>
      <c r="V586" s="14"/>
      <c r="W586" s="24"/>
      <c r="X586" s="14"/>
    </row>
    <row r="587">
      <c r="A587" s="14"/>
      <c r="B587" s="22"/>
      <c r="C587" s="14"/>
      <c r="D587" s="14"/>
      <c r="E587" s="14"/>
      <c r="F587" s="14"/>
      <c r="G587" s="14"/>
      <c r="H587" s="14"/>
      <c r="I587" s="14"/>
      <c r="J587" s="14"/>
      <c r="K587" s="14"/>
      <c r="L587" s="14"/>
      <c r="M587" s="14"/>
      <c r="N587" s="14"/>
      <c r="O587" s="14"/>
      <c r="P587" s="14"/>
      <c r="Q587" s="14"/>
      <c r="R587" s="23"/>
      <c r="S587" s="24"/>
      <c r="T587" s="25"/>
      <c r="U587" s="14"/>
      <c r="V587" s="14"/>
      <c r="W587" s="24"/>
      <c r="X587" s="14"/>
    </row>
    <row r="588">
      <c r="A588" s="14"/>
      <c r="B588" s="22"/>
      <c r="C588" s="14"/>
      <c r="D588" s="14"/>
      <c r="E588" s="14"/>
      <c r="F588" s="14"/>
      <c r="G588" s="14"/>
      <c r="H588" s="14"/>
      <c r="I588" s="14"/>
      <c r="J588" s="14"/>
      <c r="K588" s="14"/>
      <c r="L588" s="14"/>
      <c r="M588" s="14"/>
      <c r="N588" s="14"/>
      <c r="O588" s="14"/>
      <c r="P588" s="14"/>
      <c r="Q588" s="14"/>
      <c r="R588" s="23"/>
      <c r="S588" s="24"/>
      <c r="T588" s="25"/>
      <c r="U588" s="14"/>
      <c r="V588" s="14"/>
      <c r="W588" s="24"/>
      <c r="X588" s="14"/>
    </row>
    <row r="589">
      <c r="A589" s="14"/>
      <c r="B589" s="22"/>
      <c r="C589" s="14"/>
      <c r="D589" s="14"/>
      <c r="E589" s="14"/>
      <c r="F589" s="14"/>
      <c r="G589" s="14"/>
      <c r="H589" s="14"/>
      <c r="I589" s="14"/>
      <c r="J589" s="14"/>
      <c r="K589" s="14"/>
      <c r="L589" s="14"/>
      <c r="M589" s="14"/>
      <c r="N589" s="14"/>
      <c r="O589" s="14"/>
      <c r="P589" s="14"/>
      <c r="Q589" s="14"/>
      <c r="R589" s="23"/>
      <c r="S589" s="24"/>
      <c r="T589" s="25"/>
      <c r="U589" s="14"/>
      <c r="V589" s="14"/>
      <c r="W589" s="24"/>
      <c r="X589" s="14"/>
    </row>
    <row r="590">
      <c r="A590" s="14"/>
      <c r="B590" s="22"/>
      <c r="C590" s="14"/>
      <c r="D590" s="14"/>
      <c r="E590" s="14"/>
      <c r="F590" s="14"/>
      <c r="G590" s="14"/>
      <c r="H590" s="14"/>
      <c r="I590" s="14"/>
      <c r="J590" s="14"/>
      <c r="K590" s="14"/>
      <c r="L590" s="14"/>
      <c r="M590" s="14"/>
      <c r="N590" s="14"/>
      <c r="O590" s="14"/>
      <c r="P590" s="14"/>
      <c r="Q590" s="14"/>
      <c r="R590" s="23"/>
      <c r="S590" s="24"/>
      <c r="T590" s="25"/>
      <c r="U590" s="14"/>
      <c r="V590" s="14"/>
      <c r="W590" s="24"/>
      <c r="X590" s="14"/>
    </row>
    <row r="591">
      <c r="A591" s="14"/>
      <c r="B591" s="22"/>
      <c r="C591" s="14"/>
      <c r="D591" s="14"/>
      <c r="E591" s="14"/>
      <c r="F591" s="14"/>
      <c r="G591" s="14"/>
      <c r="H591" s="14"/>
      <c r="I591" s="14"/>
      <c r="J591" s="14"/>
      <c r="K591" s="14"/>
      <c r="L591" s="14"/>
      <c r="M591" s="14"/>
      <c r="N591" s="14"/>
      <c r="O591" s="14"/>
      <c r="P591" s="14"/>
      <c r="Q591" s="14"/>
      <c r="R591" s="23"/>
      <c r="S591" s="24"/>
      <c r="T591" s="25"/>
      <c r="U591" s="14"/>
      <c r="V591" s="14"/>
      <c r="W591" s="24"/>
      <c r="X591" s="14"/>
    </row>
    <row r="592">
      <c r="A592" s="14"/>
      <c r="B592" s="22"/>
      <c r="C592" s="14"/>
      <c r="D592" s="14"/>
      <c r="E592" s="14"/>
      <c r="F592" s="14"/>
      <c r="G592" s="14"/>
      <c r="H592" s="14"/>
      <c r="I592" s="14"/>
      <c r="J592" s="14"/>
      <c r="K592" s="14"/>
      <c r="L592" s="14"/>
      <c r="M592" s="14"/>
      <c r="N592" s="14"/>
      <c r="O592" s="14"/>
      <c r="P592" s="14"/>
      <c r="Q592" s="14"/>
      <c r="R592" s="23"/>
      <c r="S592" s="24"/>
      <c r="T592" s="25"/>
      <c r="U592" s="14"/>
      <c r="V592" s="14"/>
      <c r="W592" s="24"/>
      <c r="X592" s="14"/>
    </row>
    <row r="593">
      <c r="A593" s="14"/>
      <c r="B593" s="22"/>
      <c r="C593" s="14"/>
      <c r="D593" s="14"/>
      <c r="E593" s="14"/>
      <c r="F593" s="14"/>
      <c r="G593" s="14"/>
      <c r="H593" s="14"/>
      <c r="I593" s="14"/>
      <c r="J593" s="14"/>
      <c r="K593" s="14"/>
      <c r="L593" s="14"/>
      <c r="M593" s="14"/>
      <c r="N593" s="14"/>
      <c r="O593" s="14"/>
      <c r="P593" s="14"/>
      <c r="Q593" s="14"/>
      <c r="R593" s="23"/>
      <c r="S593" s="24"/>
      <c r="T593" s="25"/>
      <c r="U593" s="14"/>
      <c r="V593" s="14"/>
      <c r="W593" s="24"/>
      <c r="X593" s="14"/>
    </row>
    <row r="594">
      <c r="A594" s="14"/>
      <c r="B594" s="22"/>
      <c r="C594" s="14"/>
      <c r="D594" s="14"/>
      <c r="E594" s="14"/>
      <c r="F594" s="14"/>
      <c r="G594" s="14"/>
      <c r="H594" s="14"/>
      <c r="I594" s="14"/>
      <c r="J594" s="14"/>
      <c r="K594" s="14"/>
      <c r="L594" s="14"/>
      <c r="M594" s="14"/>
      <c r="N594" s="14"/>
      <c r="O594" s="14"/>
      <c r="P594" s="14"/>
      <c r="Q594" s="14"/>
      <c r="R594" s="23"/>
      <c r="S594" s="24"/>
      <c r="T594" s="25"/>
      <c r="U594" s="14"/>
      <c r="V594" s="14"/>
      <c r="W594" s="24"/>
      <c r="X594" s="14"/>
    </row>
    <row r="595">
      <c r="A595" s="14"/>
      <c r="B595" s="22"/>
      <c r="C595" s="14"/>
      <c r="D595" s="14"/>
      <c r="E595" s="14"/>
      <c r="F595" s="14"/>
      <c r="G595" s="14"/>
      <c r="H595" s="14"/>
      <c r="I595" s="14"/>
      <c r="J595" s="14"/>
      <c r="K595" s="14"/>
      <c r="L595" s="14"/>
      <c r="M595" s="14"/>
      <c r="N595" s="14"/>
      <c r="O595" s="14"/>
      <c r="P595" s="14"/>
      <c r="Q595" s="14"/>
      <c r="R595" s="23"/>
      <c r="S595" s="24"/>
      <c r="T595" s="25"/>
      <c r="U595" s="14"/>
      <c r="V595" s="14"/>
      <c r="W595" s="24"/>
      <c r="X595" s="14"/>
    </row>
    <row r="596">
      <c r="A596" s="14"/>
      <c r="B596" s="22"/>
      <c r="C596" s="14"/>
      <c r="D596" s="14"/>
      <c r="E596" s="14"/>
      <c r="F596" s="14"/>
      <c r="G596" s="14"/>
      <c r="H596" s="14"/>
      <c r="I596" s="14"/>
      <c r="J596" s="14"/>
      <c r="K596" s="14"/>
      <c r="L596" s="14"/>
      <c r="M596" s="14"/>
      <c r="N596" s="14"/>
      <c r="O596" s="14"/>
      <c r="P596" s="14"/>
      <c r="Q596" s="14"/>
      <c r="R596" s="23"/>
      <c r="S596" s="24"/>
      <c r="T596" s="25"/>
      <c r="U596" s="14"/>
      <c r="V596" s="14"/>
      <c r="W596" s="24"/>
      <c r="X596" s="14"/>
    </row>
    <row r="597">
      <c r="A597" s="14"/>
      <c r="B597" s="22"/>
      <c r="C597" s="14"/>
      <c r="D597" s="14"/>
      <c r="E597" s="14"/>
      <c r="F597" s="14"/>
      <c r="G597" s="14"/>
      <c r="H597" s="14"/>
      <c r="I597" s="14"/>
      <c r="J597" s="14"/>
      <c r="K597" s="14"/>
      <c r="L597" s="14"/>
      <c r="M597" s="14"/>
      <c r="N597" s="14"/>
      <c r="O597" s="14"/>
      <c r="P597" s="14"/>
      <c r="Q597" s="14"/>
      <c r="R597" s="23"/>
      <c r="S597" s="24"/>
      <c r="T597" s="25"/>
      <c r="U597" s="14"/>
      <c r="V597" s="14"/>
      <c r="W597" s="24"/>
      <c r="X597" s="14"/>
    </row>
    <row r="598">
      <c r="A598" s="14"/>
      <c r="B598" s="22"/>
      <c r="C598" s="14"/>
      <c r="D598" s="14"/>
      <c r="E598" s="14"/>
      <c r="F598" s="14"/>
      <c r="G598" s="14"/>
      <c r="H598" s="14"/>
      <c r="I598" s="14"/>
      <c r="J598" s="14"/>
      <c r="K598" s="14"/>
      <c r="L598" s="14"/>
      <c r="M598" s="14"/>
      <c r="N598" s="14"/>
      <c r="O598" s="14"/>
      <c r="P598" s="14"/>
      <c r="Q598" s="14"/>
      <c r="R598" s="23"/>
      <c r="S598" s="24"/>
      <c r="T598" s="25"/>
      <c r="U598" s="14"/>
      <c r="V598" s="14"/>
      <c r="W598" s="24"/>
      <c r="X598" s="14"/>
    </row>
    <row r="599">
      <c r="A599" s="14"/>
      <c r="B599" s="22"/>
      <c r="C599" s="14"/>
      <c r="D599" s="14"/>
      <c r="E599" s="14"/>
      <c r="F599" s="14"/>
      <c r="G599" s="14"/>
      <c r="H599" s="14"/>
      <c r="I599" s="14"/>
      <c r="J599" s="14"/>
      <c r="K599" s="14"/>
      <c r="L599" s="14"/>
      <c r="M599" s="14"/>
      <c r="N599" s="14"/>
      <c r="O599" s="14"/>
      <c r="P599" s="14"/>
      <c r="Q599" s="14"/>
      <c r="R599" s="23"/>
      <c r="S599" s="24"/>
      <c r="T599" s="25"/>
      <c r="U599" s="14"/>
      <c r="V599" s="14"/>
      <c r="W599" s="24"/>
      <c r="X599" s="14"/>
    </row>
    <row r="600">
      <c r="A600" s="14"/>
      <c r="B600" s="22"/>
      <c r="C600" s="14"/>
      <c r="D600" s="14"/>
      <c r="E600" s="14"/>
      <c r="F600" s="14"/>
      <c r="G600" s="14"/>
      <c r="H600" s="14"/>
      <c r="I600" s="14"/>
      <c r="J600" s="14"/>
      <c r="K600" s="14"/>
      <c r="L600" s="14"/>
      <c r="M600" s="14"/>
      <c r="N600" s="14"/>
      <c r="O600" s="14"/>
      <c r="P600" s="14"/>
      <c r="Q600" s="14"/>
      <c r="R600" s="23"/>
      <c r="S600" s="24"/>
      <c r="T600" s="25"/>
      <c r="U600" s="14"/>
      <c r="V600" s="14"/>
      <c r="W600" s="24"/>
      <c r="X600" s="14"/>
    </row>
    <row r="601">
      <c r="A601" s="14"/>
      <c r="B601" s="22"/>
      <c r="C601" s="14"/>
      <c r="D601" s="14"/>
      <c r="E601" s="14"/>
      <c r="F601" s="14"/>
      <c r="G601" s="14"/>
      <c r="H601" s="14"/>
      <c r="I601" s="14"/>
      <c r="J601" s="14"/>
      <c r="K601" s="14"/>
      <c r="L601" s="14"/>
      <c r="M601" s="14"/>
      <c r="N601" s="14"/>
      <c r="O601" s="14"/>
      <c r="P601" s="14"/>
      <c r="Q601" s="14"/>
      <c r="R601" s="23"/>
      <c r="S601" s="24"/>
      <c r="T601" s="25"/>
      <c r="U601" s="14"/>
      <c r="V601" s="14"/>
      <c r="W601" s="24"/>
      <c r="X601" s="14"/>
    </row>
    <row r="602">
      <c r="A602" s="14"/>
      <c r="B602" s="22"/>
      <c r="C602" s="14"/>
      <c r="D602" s="14"/>
      <c r="E602" s="14"/>
      <c r="F602" s="14"/>
      <c r="G602" s="14"/>
      <c r="H602" s="14"/>
      <c r="I602" s="14"/>
      <c r="J602" s="14"/>
      <c r="K602" s="14"/>
      <c r="L602" s="14"/>
      <c r="M602" s="14"/>
      <c r="N602" s="14"/>
      <c r="O602" s="14"/>
      <c r="P602" s="14"/>
      <c r="Q602" s="14"/>
      <c r="R602" s="23"/>
      <c r="S602" s="24"/>
      <c r="T602" s="25"/>
      <c r="U602" s="14"/>
      <c r="V602" s="14"/>
      <c r="W602" s="24"/>
      <c r="X602" s="14"/>
    </row>
    <row r="603">
      <c r="A603" s="14"/>
      <c r="B603" s="22"/>
      <c r="C603" s="14"/>
      <c r="D603" s="14"/>
      <c r="E603" s="14"/>
      <c r="F603" s="14"/>
      <c r="G603" s="14"/>
      <c r="H603" s="14"/>
      <c r="I603" s="14"/>
      <c r="J603" s="14"/>
      <c r="K603" s="14"/>
      <c r="L603" s="14"/>
      <c r="M603" s="14"/>
      <c r="N603" s="14"/>
      <c r="O603" s="14"/>
      <c r="P603" s="14"/>
      <c r="Q603" s="14"/>
      <c r="R603" s="23"/>
      <c r="S603" s="24"/>
      <c r="T603" s="25"/>
      <c r="U603" s="14"/>
      <c r="V603" s="14"/>
      <c r="W603" s="24"/>
      <c r="X603" s="14"/>
    </row>
    <row r="604">
      <c r="A604" s="14"/>
      <c r="B604" s="22"/>
      <c r="C604" s="14"/>
      <c r="D604" s="14"/>
      <c r="E604" s="14"/>
      <c r="F604" s="14"/>
      <c r="G604" s="14"/>
      <c r="H604" s="14"/>
      <c r="I604" s="14"/>
      <c r="J604" s="14"/>
      <c r="K604" s="14"/>
      <c r="L604" s="14"/>
      <c r="M604" s="14"/>
      <c r="N604" s="14"/>
      <c r="O604" s="14"/>
      <c r="P604" s="14"/>
      <c r="Q604" s="14"/>
      <c r="R604" s="23"/>
      <c r="S604" s="24"/>
      <c r="T604" s="25"/>
      <c r="U604" s="14"/>
      <c r="V604" s="14"/>
      <c r="W604" s="24"/>
      <c r="X604" s="14"/>
    </row>
    <row r="605">
      <c r="A605" s="14"/>
      <c r="B605" s="22"/>
      <c r="C605" s="14"/>
      <c r="D605" s="14"/>
      <c r="E605" s="14"/>
      <c r="F605" s="14"/>
      <c r="G605" s="14"/>
      <c r="H605" s="14"/>
      <c r="I605" s="14"/>
      <c r="J605" s="14"/>
      <c r="K605" s="14"/>
      <c r="L605" s="14"/>
      <c r="M605" s="14"/>
      <c r="N605" s="14"/>
      <c r="O605" s="14"/>
      <c r="P605" s="14"/>
      <c r="Q605" s="14"/>
      <c r="R605" s="23"/>
      <c r="S605" s="24"/>
      <c r="T605" s="25"/>
      <c r="U605" s="14"/>
      <c r="V605" s="14"/>
      <c r="W605" s="24"/>
      <c r="X605" s="14"/>
    </row>
    <row r="606">
      <c r="A606" s="14"/>
      <c r="B606" s="22"/>
      <c r="C606" s="14"/>
      <c r="D606" s="14"/>
      <c r="E606" s="14"/>
      <c r="F606" s="14"/>
      <c r="G606" s="14"/>
      <c r="H606" s="14"/>
      <c r="I606" s="14"/>
      <c r="J606" s="14"/>
      <c r="K606" s="14"/>
      <c r="L606" s="14"/>
      <c r="M606" s="14"/>
      <c r="N606" s="14"/>
      <c r="O606" s="14"/>
      <c r="P606" s="14"/>
      <c r="Q606" s="14"/>
      <c r="R606" s="23"/>
      <c r="S606" s="24"/>
      <c r="T606" s="25"/>
      <c r="U606" s="14"/>
      <c r="V606" s="14"/>
      <c r="W606" s="24"/>
      <c r="X606" s="14"/>
    </row>
    <row r="607">
      <c r="A607" s="14"/>
      <c r="B607" s="22"/>
      <c r="C607" s="14"/>
      <c r="D607" s="14"/>
      <c r="E607" s="14"/>
      <c r="F607" s="14"/>
      <c r="G607" s="14"/>
      <c r="H607" s="14"/>
      <c r="I607" s="14"/>
      <c r="J607" s="14"/>
      <c r="K607" s="14"/>
      <c r="L607" s="14"/>
      <c r="M607" s="14"/>
      <c r="N607" s="14"/>
      <c r="O607" s="14"/>
      <c r="P607" s="14"/>
      <c r="Q607" s="14"/>
      <c r="R607" s="23"/>
      <c r="S607" s="24"/>
      <c r="T607" s="25"/>
      <c r="U607" s="14"/>
      <c r="V607" s="14"/>
      <c r="W607" s="24"/>
      <c r="X607" s="14"/>
    </row>
    <row r="608">
      <c r="A608" s="14"/>
      <c r="B608" s="22"/>
      <c r="C608" s="14"/>
      <c r="D608" s="14"/>
      <c r="E608" s="14"/>
      <c r="F608" s="14"/>
      <c r="G608" s="14"/>
      <c r="H608" s="14"/>
      <c r="I608" s="14"/>
      <c r="J608" s="14"/>
      <c r="K608" s="14"/>
      <c r="L608" s="14"/>
      <c r="M608" s="14"/>
      <c r="N608" s="14"/>
      <c r="O608" s="14"/>
      <c r="P608" s="14"/>
      <c r="Q608" s="14"/>
      <c r="R608" s="23"/>
      <c r="S608" s="24"/>
      <c r="T608" s="25"/>
      <c r="U608" s="14"/>
      <c r="V608" s="14"/>
      <c r="W608" s="24"/>
      <c r="X608" s="14"/>
    </row>
    <row r="609">
      <c r="A609" s="14"/>
      <c r="B609" s="22"/>
      <c r="C609" s="14"/>
      <c r="D609" s="14"/>
      <c r="E609" s="14"/>
      <c r="F609" s="14"/>
      <c r="G609" s="14"/>
      <c r="H609" s="14"/>
      <c r="I609" s="14"/>
      <c r="J609" s="14"/>
      <c r="K609" s="14"/>
      <c r="L609" s="14"/>
      <c r="M609" s="14"/>
      <c r="N609" s="14"/>
      <c r="O609" s="14"/>
      <c r="P609" s="14"/>
      <c r="Q609" s="14"/>
      <c r="R609" s="23"/>
      <c r="S609" s="24"/>
      <c r="T609" s="25"/>
      <c r="U609" s="14"/>
      <c r="V609" s="14"/>
      <c r="W609" s="24"/>
      <c r="X609" s="14"/>
    </row>
    <row r="610">
      <c r="A610" s="14"/>
      <c r="B610" s="22"/>
      <c r="C610" s="14"/>
      <c r="D610" s="14"/>
      <c r="E610" s="14"/>
      <c r="F610" s="14"/>
      <c r="G610" s="14"/>
      <c r="H610" s="14"/>
      <c r="I610" s="14"/>
      <c r="J610" s="14"/>
      <c r="K610" s="14"/>
      <c r="L610" s="14"/>
      <c r="M610" s="14"/>
      <c r="N610" s="14"/>
      <c r="O610" s="14"/>
      <c r="P610" s="14"/>
      <c r="Q610" s="14"/>
      <c r="R610" s="23"/>
      <c r="S610" s="24"/>
      <c r="T610" s="25"/>
      <c r="U610" s="14"/>
      <c r="V610" s="14"/>
      <c r="W610" s="24"/>
      <c r="X610" s="14"/>
    </row>
    <row r="611">
      <c r="A611" s="14"/>
      <c r="B611" s="22"/>
      <c r="C611" s="14"/>
      <c r="D611" s="14"/>
      <c r="E611" s="14"/>
      <c r="F611" s="14"/>
      <c r="G611" s="14"/>
      <c r="H611" s="14"/>
      <c r="I611" s="14"/>
      <c r="J611" s="14"/>
      <c r="K611" s="14"/>
      <c r="L611" s="14"/>
      <c r="M611" s="14"/>
      <c r="N611" s="14"/>
      <c r="O611" s="14"/>
      <c r="P611" s="14"/>
      <c r="Q611" s="14"/>
      <c r="R611" s="23"/>
      <c r="S611" s="24"/>
      <c r="T611" s="25"/>
      <c r="U611" s="14"/>
      <c r="V611" s="14"/>
      <c r="W611" s="24"/>
      <c r="X611" s="14"/>
    </row>
    <row r="612">
      <c r="A612" s="14"/>
      <c r="B612" s="22"/>
      <c r="C612" s="14"/>
      <c r="D612" s="14"/>
      <c r="E612" s="14"/>
      <c r="F612" s="14"/>
      <c r="G612" s="14"/>
      <c r="H612" s="14"/>
      <c r="I612" s="14"/>
      <c r="J612" s="14"/>
      <c r="K612" s="14"/>
      <c r="L612" s="14"/>
      <c r="M612" s="14"/>
      <c r="N612" s="14"/>
      <c r="O612" s="14"/>
      <c r="P612" s="14"/>
      <c r="Q612" s="14"/>
      <c r="R612" s="23"/>
      <c r="S612" s="24"/>
      <c r="T612" s="25"/>
      <c r="U612" s="14"/>
      <c r="V612" s="14"/>
      <c r="W612" s="24"/>
      <c r="X612" s="14"/>
    </row>
    <row r="613">
      <c r="A613" s="14"/>
      <c r="B613" s="22"/>
      <c r="C613" s="14"/>
      <c r="D613" s="14"/>
      <c r="E613" s="14"/>
      <c r="F613" s="14"/>
      <c r="G613" s="14"/>
      <c r="H613" s="14"/>
      <c r="I613" s="14"/>
      <c r="J613" s="14"/>
      <c r="K613" s="14"/>
      <c r="L613" s="14"/>
      <c r="M613" s="14"/>
      <c r="N613" s="14"/>
      <c r="O613" s="14"/>
      <c r="P613" s="14"/>
      <c r="Q613" s="14"/>
      <c r="R613" s="23"/>
      <c r="S613" s="24"/>
      <c r="T613" s="25"/>
      <c r="U613" s="14"/>
      <c r="V613" s="14"/>
      <c r="W613" s="24"/>
      <c r="X613" s="14"/>
    </row>
    <row r="614">
      <c r="A614" s="14"/>
      <c r="B614" s="22"/>
      <c r="C614" s="14"/>
      <c r="D614" s="14"/>
      <c r="E614" s="14"/>
      <c r="F614" s="14"/>
      <c r="G614" s="14"/>
      <c r="H614" s="14"/>
      <c r="I614" s="14"/>
      <c r="J614" s="14"/>
      <c r="K614" s="14"/>
      <c r="L614" s="14"/>
      <c r="M614" s="14"/>
      <c r="N614" s="14"/>
      <c r="O614" s="14"/>
      <c r="P614" s="14"/>
      <c r="Q614" s="14"/>
      <c r="R614" s="23"/>
      <c r="S614" s="24"/>
      <c r="T614" s="25"/>
      <c r="U614" s="14"/>
      <c r="V614" s="14"/>
      <c r="W614" s="24"/>
      <c r="X614" s="14"/>
    </row>
    <row r="615">
      <c r="A615" s="14"/>
      <c r="B615" s="22"/>
      <c r="C615" s="14"/>
      <c r="D615" s="14"/>
      <c r="E615" s="14"/>
      <c r="F615" s="14"/>
      <c r="G615" s="14"/>
      <c r="H615" s="14"/>
      <c r="I615" s="14"/>
      <c r="J615" s="14"/>
      <c r="K615" s="14"/>
      <c r="L615" s="14"/>
      <c r="M615" s="14"/>
      <c r="N615" s="14"/>
      <c r="O615" s="14"/>
      <c r="P615" s="14"/>
      <c r="Q615" s="14"/>
      <c r="R615" s="23"/>
      <c r="S615" s="24"/>
      <c r="T615" s="25"/>
      <c r="U615" s="14"/>
      <c r="V615" s="14"/>
      <c r="W615" s="24"/>
      <c r="X615" s="14"/>
    </row>
    <row r="616">
      <c r="A616" s="14"/>
      <c r="B616" s="22"/>
      <c r="C616" s="14"/>
      <c r="D616" s="14"/>
      <c r="E616" s="14"/>
      <c r="F616" s="14"/>
      <c r="G616" s="14"/>
      <c r="H616" s="14"/>
      <c r="I616" s="14"/>
      <c r="J616" s="14"/>
      <c r="K616" s="14"/>
      <c r="L616" s="14"/>
      <c r="M616" s="14"/>
      <c r="N616" s="14"/>
      <c r="O616" s="14"/>
      <c r="P616" s="14"/>
      <c r="Q616" s="14"/>
      <c r="R616" s="23"/>
      <c r="S616" s="24"/>
      <c r="T616" s="25"/>
      <c r="U616" s="14"/>
      <c r="V616" s="14"/>
      <c r="W616" s="24"/>
      <c r="X616" s="14"/>
    </row>
    <row r="617">
      <c r="A617" s="14"/>
      <c r="B617" s="22"/>
      <c r="C617" s="14"/>
      <c r="D617" s="14"/>
      <c r="E617" s="14"/>
      <c r="F617" s="14"/>
      <c r="G617" s="14"/>
      <c r="H617" s="14"/>
      <c r="I617" s="14"/>
      <c r="J617" s="14"/>
      <c r="K617" s="14"/>
      <c r="L617" s="14"/>
      <c r="M617" s="14"/>
      <c r="N617" s="14"/>
      <c r="O617" s="14"/>
      <c r="P617" s="14"/>
      <c r="Q617" s="14"/>
      <c r="R617" s="23"/>
      <c r="S617" s="24"/>
      <c r="T617" s="25"/>
      <c r="U617" s="14"/>
      <c r="V617" s="14"/>
      <c r="W617" s="24"/>
      <c r="X617" s="14"/>
    </row>
    <row r="618">
      <c r="A618" s="14"/>
      <c r="B618" s="22"/>
      <c r="C618" s="14"/>
      <c r="D618" s="14"/>
      <c r="E618" s="14"/>
      <c r="F618" s="14"/>
      <c r="G618" s="14"/>
      <c r="H618" s="14"/>
      <c r="I618" s="14"/>
      <c r="J618" s="14"/>
      <c r="K618" s="14"/>
      <c r="L618" s="14"/>
      <c r="M618" s="14"/>
      <c r="N618" s="14"/>
      <c r="O618" s="14"/>
      <c r="P618" s="14"/>
      <c r="Q618" s="14"/>
      <c r="R618" s="23"/>
      <c r="S618" s="24"/>
      <c r="T618" s="25"/>
      <c r="U618" s="14"/>
      <c r="V618" s="14"/>
      <c r="W618" s="24"/>
      <c r="X618" s="14"/>
    </row>
    <row r="619">
      <c r="A619" s="14"/>
      <c r="B619" s="22"/>
      <c r="C619" s="14"/>
      <c r="D619" s="14"/>
      <c r="E619" s="14"/>
      <c r="F619" s="14"/>
      <c r="G619" s="14"/>
      <c r="H619" s="14"/>
      <c r="I619" s="14"/>
      <c r="J619" s="14"/>
      <c r="K619" s="14"/>
      <c r="L619" s="14"/>
      <c r="M619" s="14"/>
      <c r="N619" s="14"/>
      <c r="O619" s="14"/>
      <c r="P619" s="14"/>
      <c r="Q619" s="14"/>
      <c r="R619" s="23"/>
      <c r="S619" s="24"/>
      <c r="T619" s="25"/>
      <c r="U619" s="14"/>
      <c r="V619" s="14"/>
      <c r="W619" s="24"/>
      <c r="X619" s="14"/>
    </row>
    <row r="620">
      <c r="A620" s="14"/>
      <c r="B620" s="22"/>
      <c r="C620" s="14"/>
      <c r="D620" s="14"/>
      <c r="E620" s="14"/>
      <c r="F620" s="14"/>
      <c r="G620" s="14"/>
      <c r="H620" s="14"/>
      <c r="I620" s="14"/>
      <c r="J620" s="14"/>
      <c r="K620" s="14"/>
      <c r="L620" s="14"/>
      <c r="M620" s="14"/>
      <c r="N620" s="14"/>
      <c r="O620" s="14"/>
      <c r="P620" s="14"/>
      <c r="Q620" s="14"/>
      <c r="R620" s="23"/>
      <c r="S620" s="24"/>
      <c r="T620" s="25"/>
      <c r="U620" s="14"/>
      <c r="V620" s="14"/>
      <c r="W620" s="24"/>
      <c r="X620" s="14"/>
    </row>
    <row r="621">
      <c r="A621" s="14"/>
      <c r="B621" s="22"/>
      <c r="C621" s="14"/>
      <c r="D621" s="14"/>
      <c r="E621" s="14"/>
      <c r="F621" s="14"/>
      <c r="G621" s="14"/>
      <c r="H621" s="14"/>
      <c r="I621" s="14"/>
      <c r="J621" s="14"/>
      <c r="K621" s="14"/>
      <c r="L621" s="14"/>
      <c r="M621" s="14"/>
      <c r="N621" s="14"/>
      <c r="O621" s="14"/>
      <c r="P621" s="14"/>
      <c r="Q621" s="14"/>
      <c r="R621" s="23"/>
      <c r="S621" s="24"/>
      <c r="T621" s="25"/>
      <c r="U621" s="14"/>
      <c r="V621" s="14"/>
      <c r="W621" s="24"/>
      <c r="X621" s="14"/>
    </row>
    <row r="622">
      <c r="A622" s="14"/>
      <c r="B622" s="22"/>
      <c r="C622" s="14"/>
      <c r="D622" s="14"/>
      <c r="E622" s="14"/>
      <c r="F622" s="14"/>
      <c r="G622" s="14"/>
      <c r="H622" s="14"/>
      <c r="I622" s="14"/>
      <c r="J622" s="14"/>
      <c r="K622" s="14"/>
      <c r="L622" s="14"/>
      <c r="M622" s="14"/>
      <c r="N622" s="14"/>
      <c r="O622" s="14"/>
      <c r="P622" s="14"/>
      <c r="Q622" s="14"/>
      <c r="R622" s="23"/>
      <c r="S622" s="24"/>
      <c r="T622" s="25"/>
      <c r="U622" s="14"/>
      <c r="V622" s="14"/>
      <c r="W622" s="24"/>
      <c r="X622" s="14"/>
    </row>
    <row r="623">
      <c r="A623" s="14"/>
      <c r="B623" s="22"/>
      <c r="C623" s="14"/>
      <c r="D623" s="14"/>
      <c r="E623" s="14"/>
      <c r="F623" s="14"/>
      <c r="G623" s="14"/>
      <c r="H623" s="14"/>
      <c r="I623" s="14"/>
      <c r="J623" s="14"/>
      <c r="K623" s="14"/>
      <c r="L623" s="14"/>
      <c r="M623" s="14"/>
      <c r="N623" s="14"/>
      <c r="O623" s="14"/>
      <c r="P623" s="14"/>
      <c r="Q623" s="14"/>
      <c r="R623" s="23"/>
      <c r="S623" s="24"/>
      <c r="T623" s="25"/>
      <c r="U623" s="14"/>
      <c r="V623" s="14"/>
      <c r="W623" s="24"/>
      <c r="X623" s="14"/>
    </row>
    <row r="624">
      <c r="A624" s="14"/>
      <c r="B624" s="22"/>
      <c r="C624" s="14"/>
      <c r="D624" s="14"/>
      <c r="E624" s="14"/>
      <c r="F624" s="14"/>
      <c r="G624" s="14"/>
      <c r="H624" s="14"/>
      <c r="I624" s="14"/>
      <c r="J624" s="14"/>
      <c r="K624" s="14"/>
      <c r="L624" s="14"/>
      <c r="M624" s="14"/>
      <c r="N624" s="14"/>
      <c r="O624" s="14"/>
      <c r="P624" s="14"/>
      <c r="Q624" s="14"/>
      <c r="R624" s="23"/>
      <c r="S624" s="24"/>
      <c r="T624" s="25"/>
      <c r="U624" s="14"/>
      <c r="V624" s="14"/>
      <c r="W624" s="24"/>
      <c r="X624" s="14"/>
    </row>
    <row r="625">
      <c r="A625" s="14"/>
      <c r="B625" s="22"/>
      <c r="C625" s="14"/>
      <c r="D625" s="14"/>
      <c r="E625" s="14"/>
      <c r="F625" s="14"/>
      <c r="G625" s="14"/>
      <c r="H625" s="14"/>
      <c r="I625" s="14"/>
      <c r="J625" s="14"/>
      <c r="K625" s="14"/>
      <c r="L625" s="14"/>
      <c r="M625" s="14"/>
      <c r="N625" s="14"/>
      <c r="O625" s="14"/>
      <c r="P625" s="14"/>
      <c r="Q625" s="14"/>
      <c r="R625" s="23"/>
      <c r="S625" s="24"/>
      <c r="T625" s="25"/>
      <c r="U625" s="14"/>
      <c r="V625" s="14"/>
      <c r="W625" s="24"/>
      <c r="X625" s="14"/>
    </row>
    <row r="626">
      <c r="A626" s="14"/>
      <c r="B626" s="22"/>
      <c r="C626" s="14"/>
      <c r="D626" s="14"/>
      <c r="E626" s="14"/>
      <c r="F626" s="14"/>
      <c r="G626" s="14"/>
      <c r="H626" s="14"/>
      <c r="I626" s="14"/>
      <c r="J626" s="14"/>
      <c r="K626" s="14"/>
      <c r="L626" s="14"/>
      <c r="M626" s="14"/>
      <c r="N626" s="14"/>
      <c r="O626" s="14"/>
      <c r="P626" s="14"/>
      <c r="Q626" s="14"/>
      <c r="R626" s="23"/>
      <c r="S626" s="24"/>
      <c r="T626" s="25"/>
      <c r="U626" s="14"/>
      <c r="V626" s="14"/>
      <c r="W626" s="24"/>
      <c r="X626" s="14"/>
    </row>
    <row r="627">
      <c r="A627" s="14"/>
      <c r="B627" s="22"/>
      <c r="C627" s="14"/>
      <c r="D627" s="14"/>
      <c r="E627" s="14"/>
      <c r="F627" s="14"/>
      <c r="G627" s="14"/>
      <c r="H627" s="14"/>
      <c r="I627" s="14"/>
      <c r="J627" s="14"/>
      <c r="K627" s="14"/>
      <c r="L627" s="14"/>
      <c r="M627" s="14"/>
      <c r="N627" s="14"/>
      <c r="O627" s="14"/>
      <c r="P627" s="14"/>
      <c r="Q627" s="14"/>
      <c r="R627" s="23"/>
      <c r="S627" s="24"/>
      <c r="T627" s="25"/>
      <c r="U627" s="14"/>
      <c r="V627" s="14"/>
      <c r="W627" s="24"/>
      <c r="X627" s="14"/>
    </row>
    <row r="628">
      <c r="A628" s="14"/>
      <c r="B628" s="22"/>
      <c r="C628" s="14"/>
      <c r="D628" s="14"/>
      <c r="E628" s="14"/>
      <c r="F628" s="14"/>
      <c r="G628" s="14"/>
      <c r="H628" s="14"/>
      <c r="I628" s="14"/>
      <c r="J628" s="14"/>
      <c r="K628" s="14"/>
      <c r="L628" s="14"/>
      <c r="M628" s="14"/>
      <c r="N628" s="14"/>
      <c r="O628" s="14"/>
      <c r="P628" s="14"/>
      <c r="Q628" s="14"/>
      <c r="R628" s="23"/>
      <c r="S628" s="24"/>
      <c r="T628" s="25"/>
      <c r="U628" s="14"/>
      <c r="V628" s="14"/>
      <c r="W628" s="24"/>
      <c r="X628" s="14"/>
    </row>
    <row r="629">
      <c r="A629" s="14"/>
      <c r="B629" s="22"/>
      <c r="C629" s="14"/>
      <c r="D629" s="14"/>
      <c r="E629" s="14"/>
      <c r="F629" s="14"/>
      <c r="G629" s="14"/>
      <c r="H629" s="14"/>
      <c r="I629" s="14"/>
      <c r="J629" s="14"/>
      <c r="K629" s="14"/>
      <c r="L629" s="14"/>
      <c r="M629" s="14"/>
      <c r="N629" s="14"/>
      <c r="O629" s="14"/>
      <c r="P629" s="14"/>
      <c r="Q629" s="14"/>
      <c r="R629" s="23"/>
      <c r="S629" s="24"/>
      <c r="T629" s="25"/>
      <c r="U629" s="14"/>
      <c r="V629" s="14"/>
      <c r="W629" s="24"/>
      <c r="X629" s="14"/>
    </row>
    <row r="630">
      <c r="A630" s="14"/>
      <c r="B630" s="22"/>
      <c r="C630" s="14"/>
      <c r="D630" s="14"/>
      <c r="E630" s="14"/>
      <c r="F630" s="14"/>
      <c r="G630" s="14"/>
      <c r="H630" s="14"/>
      <c r="I630" s="14"/>
      <c r="J630" s="14"/>
      <c r="K630" s="14"/>
      <c r="L630" s="14"/>
      <c r="M630" s="14"/>
      <c r="N630" s="14"/>
      <c r="O630" s="14"/>
      <c r="P630" s="14"/>
      <c r="Q630" s="14"/>
      <c r="R630" s="23"/>
      <c r="S630" s="24"/>
      <c r="T630" s="25"/>
      <c r="U630" s="14"/>
      <c r="V630" s="14"/>
      <c r="W630" s="24"/>
      <c r="X630" s="14"/>
    </row>
    <row r="631">
      <c r="A631" s="14"/>
      <c r="B631" s="22"/>
      <c r="C631" s="14"/>
      <c r="D631" s="14"/>
      <c r="E631" s="14"/>
      <c r="F631" s="14"/>
      <c r="G631" s="14"/>
      <c r="H631" s="14"/>
      <c r="I631" s="14"/>
      <c r="J631" s="14"/>
      <c r="K631" s="14"/>
      <c r="L631" s="14"/>
      <c r="M631" s="14"/>
      <c r="N631" s="14"/>
      <c r="O631" s="14"/>
      <c r="P631" s="14"/>
      <c r="Q631" s="14"/>
      <c r="R631" s="23"/>
      <c r="S631" s="24"/>
      <c r="T631" s="25"/>
      <c r="U631" s="14"/>
      <c r="V631" s="14"/>
      <c r="W631" s="24"/>
      <c r="X631" s="14"/>
    </row>
    <row r="632">
      <c r="A632" s="14"/>
      <c r="B632" s="22"/>
      <c r="C632" s="14"/>
      <c r="D632" s="14"/>
      <c r="E632" s="14"/>
      <c r="F632" s="14"/>
      <c r="G632" s="14"/>
      <c r="H632" s="14"/>
      <c r="I632" s="14"/>
      <c r="J632" s="14"/>
      <c r="K632" s="14"/>
      <c r="L632" s="14"/>
      <c r="M632" s="14"/>
      <c r="N632" s="14"/>
      <c r="O632" s="14"/>
      <c r="P632" s="14"/>
      <c r="Q632" s="14"/>
      <c r="R632" s="23"/>
      <c r="S632" s="24"/>
      <c r="T632" s="25"/>
      <c r="U632" s="14"/>
      <c r="V632" s="14"/>
      <c r="W632" s="24"/>
      <c r="X632" s="14"/>
    </row>
    <row r="633">
      <c r="A633" s="14"/>
      <c r="B633" s="22"/>
      <c r="C633" s="14"/>
      <c r="D633" s="14"/>
      <c r="E633" s="14"/>
      <c r="F633" s="14"/>
      <c r="G633" s="14"/>
      <c r="H633" s="14"/>
      <c r="I633" s="14"/>
      <c r="J633" s="14"/>
      <c r="K633" s="14"/>
      <c r="L633" s="14"/>
      <c r="M633" s="14"/>
      <c r="N633" s="14"/>
      <c r="O633" s="14"/>
      <c r="P633" s="14"/>
      <c r="Q633" s="14"/>
      <c r="R633" s="23"/>
      <c r="S633" s="24"/>
      <c r="T633" s="25"/>
      <c r="U633" s="14"/>
      <c r="V633" s="14"/>
      <c r="W633" s="24"/>
      <c r="X633" s="14"/>
    </row>
    <row r="634">
      <c r="A634" s="14"/>
      <c r="B634" s="22"/>
      <c r="C634" s="14"/>
      <c r="D634" s="14"/>
      <c r="E634" s="14"/>
      <c r="F634" s="14"/>
      <c r="G634" s="14"/>
      <c r="H634" s="14"/>
      <c r="I634" s="14"/>
      <c r="J634" s="14"/>
      <c r="K634" s="14"/>
      <c r="L634" s="14"/>
      <c r="M634" s="14"/>
      <c r="N634" s="14"/>
      <c r="O634" s="14"/>
      <c r="P634" s="14"/>
      <c r="Q634" s="14"/>
      <c r="R634" s="23"/>
      <c r="S634" s="24"/>
      <c r="T634" s="25"/>
      <c r="U634" s="14"/>
      <c r="V634" s="14"/>
      <c r="W634" s="24"/>
      <c r="X634" s="14"/>
    </row>
    <row r="635">
      <c r="A635" s="14"/>
      <c r="B635" s="22"/>
      <c r="C635" s="14"/>
      <c r="D635" s="14"/>
      <c r="E635" s="14"/>
      <c r="F635" s="14"/>
      <c r="G635" s="14"/>
      <c r="H635" s="14"/>
      <c r="I635" s="14"/>
      <c r="J635" s="14"/>
      <c r="K635" s="14"/>
      <c r="L635" s="14"/>
      <c r="M635" s="14"/>
      <c r="N635" s="14"/>
      <c r="O635" s="14"/>
      <c r="P635" s="14"/>
      <c r="Q635" s="14"/>
      <c r="R635" s="23"/>
      <c r="S635" s="24"/>
      <c r="T635" s="25"/>
      <c r="U635" s="14"/>
      <c r="V635" s="14"/>
      <c r="W635" s="24"/>
      <c r="X635" s="14"/>
    </row>
    <row r="636">
      <c r="A636" s="14"/>
      <c r="B636" s="22"/>
      <c r="C636" s="14"/>
      <c r="D636" s="14"/>
      <c r="E636" s="14"/>
      <c r="F636" s="14"/>
      <c r="G636" s="14"/>
      <c r="H636" s="14"/>
      <c r="I636" s="14"/>
      <c r="J636" s="14"/>
      <c r="K636" s="14"/>
      <c r="L636" s="14"/>
      <c r="M636" s="14"/>
      <c r="N636" s="14"/>
      <c r="O636" s="14"/>
      <c r="P636" s="14"/>
      <c r="Q636" s="14"/>
      <c r="R636" s="23"/>
      <c r="S636" s="24"/>
      <c r="T636" s="25"/>
      <c r="U636" s="14"/>
      <c r="V636" s="14"/>
      <c r="W636" s="24"/>
      <c r="X636" s="14"/>
    </row>
    <row r="637">
      <c r="A637" s="14"/>
      <c r="B637" s="22"/>
      <c r="C637" s="14"/>
      <c r="D637" s="14"/>
      <c r="E637" s="14"/>
      <c r="F637" s="14"/>
      <c r="G637" s="14"/>
      <c r="H637" s="14"/>
      <c r="I637" s="14"/>
      <c r="J637" s="14"/>
      <c r="K637" s="14"/>
      <c r="L637" s="14"/>
      <c r="M637" s="14"/>
      <c r="N637" s="14"/>
      <c r="O637" s="14"/>
      <c r="P637" s="14"/>
      <c r="Q637" s="14"/>
      <c r="R637" s="23"/>
      <c r="S637" s="24"/>
      <c r="T637" s="25"/>
      <c r="U637" s="14"/>
      <c r="V637" s="14"/>
      <c r="W637" s="24"/>
      <c r="X637" s="14"/>
    </row>
    <row r="638">
      <c r="A638" s="14"/>
      <c r="B638" s="22"/>
      <c r="C638" s="14"/>
      <c r="D638" s="14"/>
      <c r="E638" s="14"/>
      <c r="F638" s="14"/>
      <c r="G638" s="14"/>
      <c r="H638" s="14"/>
      <c r="I638" s="14"/>
      <c r="J638" s="14"/>
      <c r="K638" s="14"/>
      <c r="L638" s="14"/>
      <c r="M638" s="14"/>
      <c r="N638" s="14"/>
      <c r="O638" s="14"/>
      <c r="P638" s="14"/>
      <c r="Q638" s="14"/>
      <c r="R638" s="23"/>
      <c r="S638" s="24"/>
      <c r="T638" s="25"/>
      <c r="U638" s="14"/>
      <c r="V638" s="14"/>
      <c r="W638" s="24"/>
      <c r="X638" s="14"/>
    </row>
    <row r="639">
      <c r="A639" s="14"/>
      <c r="B639" s="22"/>
      <c r="C639" s="14"/>
      <c r="D639" s="14"/>
      <c r="E639" s="14"/>
      <c r="F639" s="14"/>
      <c r="G639" s="14"/>
      <c r="H639" s="14"/>
      <c r="I639" s="14"/>
      <c r="J639" s="14"/>
      <c r="K639" s="14"/>
      <c r="L639" s="14"/>
      <c r="M639" s="14"/>
      <c r="N639" s="14"/>
      <c r="O639" s="14"/>
      <c r="P639" s="14"/>
      <c r="Q639" s="14"/>
      <c r="R639" s="23"/>
      <c r="S639" s="24"/>
      <c r="T639" s="25"/>
      <c r="U639" s="14"/>
      <c r="V639" s="14"/>
      <c r="W639" s="24"/>
      <c r="X639" s="14"/>
    </row>
    <row r="640">
      <c r="A640" s="14"/>
      <c r="B640" s="22"/>
      <c r="C640" s="14"/>
      <c r="D640" s="14"/>
      <c r="E640" s="14"/>
      <c r="F640" s="14"/>
      <c r="G640" s="14"/>
      <c r="H640" s="14"/>
      <c r="I640" s="14"/>
      <c r="J640" s="14"/>
      <c r="K640" s="14"/>
      <c r="L640" s="14"/>
      <c r="M640" s="14"/>
      <c r="N640" s="14"/>
      <c r="O640" s="14"/>
      <c r="P640" s="14"/>
      <c r="Q640" s="14"/>
      <c r="R640" s="23"/>
      <c r="S640" s="24"/>
      <c r="T640" s="25"/>
      <c r="U640" s="14"/>
      <c r="V640" s="14"/>
      <c r="W640" s="24"/>
      <c r="X640" s="14"/>
    </row>
    <row r="641">
      <c r="A641" s="14"/>
      <c r="B641" s="22"/>
      <c r="C641" s="14"/>
      <c r="D641" s="14"/>
      <c r="E641" s="14"/>
      <c r="F641" s="14"/>
      <c r="G641" s="14"/>
      <c r="H641" s="14"/>
      <c r="I641" s="14"/>
      <c r="J641" s="14"/>
      <c r="K641" s="14"/>
      <c r="L641" s="14"/>
      <c r="M641" s="14"/>
      <c r="N641" s="14"/>
      <c r="O641" s="14"/>
      <c r="P641" s="14"/>
      <c r="Q641" s="14"/>
      <c r="R641" s="23"/>
      <c r="S641" s="24"/>
      <c r="T641" s="25"/>
      <c r="U641" s="14"/>
      <c r="V641" s="14"/>
      <c r="W641" s="24"/>
      <c r="X641" s="14"/>
    </row>
    <row r="642">
      <c r="A642" s="14"/>
      <c r="B642" s="22"/>
      <c r="C642" s="14"/>
      <c r="D642" s="14"/>
      <c r="E642" s="14"/>
      <c r="F642" s="14"/>
      <c r="G642" s="14"/>
      <c r="H642" s="14"/>
      <c r="I642" s="14"/>
      <c r="J642" s="14"/>
      <c r="K642" s="14"/>
      <c r="L642" s="14"/>
      <c r="M642" s="14"/>
      <c r="N642" s="14"/>
      <c r="O642" s="14"/>
      <c r="P642" s="14"/>
      <c r="Q642" s="14"/>
      <c r="R642" s="23"/>
      <c r="S642" s="24"/>
      <c r="T642" s="25"/>
      <c r="U642" s="14"/>
      <c r="V642" s="14"/>
      <c r="W642" s="24"/>
      <c r="X642" s="14"/>
    </row>
    <row r="643">
      <c r="A643" s="14"/>
      <c r="B643" s="22"/>
      <c r="C643" s="14"/>
      <c r="D643" s="14"/>
      <c r="E643" s="14"/>
      <c r="F643" s="14"/>
      <c r="G643" s="14"/>
      <c r="H643" s="14"/>
      <c r="I643" s="14"/>
      <c r="J643" s="14"/>
      <c r="K643" s="14"/>
      <c r="L643" s="14"/>
      <c r="M643" s="14"/>
      <c r="N643" s="14"/>
      <c r="O643" s="14"/>
      <c r="P643" s="14"/>
      <c r="Q643" s="14"/>
      <c r="R643" s="23"/>
      <c r="S643" s="24"/>
      <c r="T643" s="25"/>
      <c r="U643" s="14"/>
      <c r="V643" s="14"/>
      <c r="W643" s="24"/>
      <c r="X643" s="14"/>
    </row>
    <row r="644">
      <c r="A644" s="14"/>
      <c r="B644" s="22"/>
      <c r="C644" s="14"/>
      <c r="D644" s="14"/>
      <c r="E644" s="14"/>
      <c r="F644" s="14"/>
      <c r="G644" s="14"/>
      <c r="H644" s="14"/>
      <c r="I644" s="14"/>
      <c r="J644" s="14"/>
      <c r="K644" s="14"/>
      <c r="L644" s="14"/>
      <c r="M644" s="14"/>
      <c r="N644" s="14"/>
      <c r="O644" s="14"/>
      <c r="P644" s="14"/>
      <c r="Q644" s="14"/>
      <c r="R644" s="23"/>
      <c r="S644" s="24"/>
      <c r="T644" s="25"/>
      <c r="U644" s="14"/>
      <c r="V644" s="14"/>
      <c r="W644" s="24"/>
      <c r="X644" s="14"/>
    </row>
    <row r="645">
      <c r="A645" s="14"/>
      <c r="B645" s="22"/>
      <c r="C645" s="14"/>
      <c r="D645" s="14"/>
      <c r="E645" s="14"/>
      <c r="F645" s="14"/>
      <c r="G645" s="14"/>
      <c r="H645" s="14"/>
      <c r="I645" s="14"/>
      <c r="J645" s="14"/>
      <c r="K645" s="14"/>
      <c r="L645" s="14"/>
      <c r="M645" s="14"/>
      <c r="N645" s="14"/>
      <c r="O645" s="14"/>
      <c r="P645" s="14"/>
      <c r="Q645" s="14"/>
      <c r="R645" s="23"/>
      <c r="S645" s="24"/>
      <c r="T645" s="25"/>
      <c r="U645" s="14"/>
      <c r="V645" s="14"/>
      <c r="W645" s="24"/>
      <c r="X645" s="14"/>
    </row>
    <row r="646">
      <c r="A646" s="14"/>
      <c r="B646" s="22"/>
      <c r="C646" s="14"/>
      <c r="D646" s="14"/>
      <c r="E646" s="14"/>
      <c r="F646" s="14"/>
      <c r="G646" s="14"/>
      <c r="H646" s="14"/>
      <c r="I646" s="14"/>
      <c r="J646" s="14"/>
      <c r="K646" s="14"/>
      <c r="L646" s="14"/>
      <c r="M646" s="14"/>
      <c r="N646" s="14"/>
      <c r="O646" s="14"/>
      <c r="P646" s="14"/>
      <c r="Q646" s="14"/>
      <c r="R646" s="23"/>
      <c r="S646" s="24"/>
      <c r="T646" s="25"/>
      <c r="U646" s="14"/>
      <c r="V646" s="14"/>
      <c r="W646" s="24"/>
      <c r="X646" s="14"/>
    </row>
    <row r="647">
      <c r="A647" s="14"/>
      <c r="B647" s="22"/>
      <c r="C647" s="14"/>
      <c r="D647" s="14"/>
      <c r="E647" s="14"/>
      <c r="F647" s="14"/>
      <c r="G647" s="14"/>
      <c r="H647" s="14"/>
      <c r="I647" s="14"/>
      <c r="J647" s="14"/>
      <c r="K647" s="14"/>
      <c r="L647" s="14"/>
      <c r="M647" s="14"/>
      <c r="N647" s="14"/>
      <c r="O647" s="14"/>
      <c r="P647" s="14"/>
      <c r="Q647" s="14"/>
      <c r="R647" s="23"/>
      <c r="S647" s="24"/>
      <c r="T647" s="25"/>
      <c r="U647" s="14"/>
      <c r="V647" s="14"/>
      <c r="W647" s="24"/>
      <c r="X647" s="14"/>
    </row>
    <row r="648">
      <c r="A648" s="14"/>
      <c r="B648" s="22"/>
      <c r="C648" s="14"/>
      <c r="D648" s="14"/>
      <c r="E648" s="14"/>
      <c r="F648" s="14"/>
      <c r="G648" s="14"/>
      <c r="H648" s="14"/>
      <c r="I648" s="14"/>
      <c r="J648" s="14"/>
      <c r="K648" s="14"/>
      <c r="L648" s="14"/>
      <c r="M648" s="14"/>
      <c r="N648" s="14"/>
      <c r="O648" s="14"/>
      <c r="P648" s="14"/>
      <c r="Q648" s="14"/>
      <c r="R648" s="23"/>
      <c r="S648" s="24"/>
      <c r="T648" s="25"/>
      <c r="U648" s="14"/>
      <c r="V648" s="14"/>
      <c r="W648" s="24"/>
      <c r="X648" s="14"/>
    </row>
    <row r="649">
      <c r="A649" s="14"/>
      <c r="B649" s="22"/>
      <c r="C649" s="14"/>
      <c r="D649" s="14"/>
      <c r="E649" s="14"/>
      <c r="F649" s="14"/>
      <c r="G649" s="14"/>
      <c r="H649" s="14"/>
      <c r="I649" s="14"/>
      <c r="J649" s="14"/>
      <c r="K649" s="14"/>
      <c r="L649" s="14"/>
      <c r="M649" s="14"/>
      <c r="N649" s="14"/>
      <c r="O649" s="14"/>
      <c r="P649" s="14"/>
      <c r="Q649" s="14"/>
      <c r="R649" s="23"/>
      <c r="S649" s="24"/>
      <c r="T649" s="25"/>
      <c r="U649" s="14"/>
      <c r="V649" s="14"/>
      <c r="W649" s="24"/>
      <c r="X649" s="14"/>
    </row>
    <row r="650">
      <c r="A650" s="14"/>
      <c r="B650" s="22"/>
      <c r="C650" s="14"/>
      <c r="D650" s="14"/>
      <c r="E650" s="14"/>
      <c r="F650" s="14"/>
      <c r="G650" s="14"/>
      <c r="H650" s="14"/>
      <c r="I650" s="14"/>
      <c r="J650" s="14"/>
      <c r="K650" s="14"/>
      <c r="L650" s="14"/>
      <c r="M650" s="14"/>
      <c r="N650" s="14"/>
      <c r="O650" s="14"/>
      <c r="P650" s="14"/>
      <c r="Q650" s="14"/>
      <c r="R650" s="23"/>
      <c r="S650" s="24"/>
      <c r="T650" s="25"/>
      <c r="U650" s="14"/>
      <c r="V650" s="14"/>
      <c r="W650" s="24"/>
      <c r="X650" s="14"/>
    </row>
    <row r="651">
      <c r="A651" s="14"/>
      <c r="B651" s="22"/>
      <c r="C651" s="14"/>
      <c r="D651" s="14"/>
      <c r="E651" s="14"/>
      <c r="F651" s="14"/>
      <c r="G651" s="14"/>
      <c r="H651" s="14"/>
      <c r="I651" s="14"/>
      <c r="J651" s="14"/>
      <c r="K651" s="14"/>
      <c r="L651" s="14"/>
      <c r="M651" s="14"/>
      <c r="N651" s="14"/>
      <c r="O651" s="14"/>
      <c r="P651" s="14"/>
      <c r="Q651" s="14"/>
      <c r="R651" s="23"/>
      <c r="S651" s="24"/>
      <c r="T651" s="25"/>
      <c r="U651" s="14"/>
      <c r="V651" s="14"/>
      <c r="W651" s="24"/>
      <c r="X651" s="14"/>
    </row>
    <row r="652">
      <c r="A652" s="14"/>
      <c r="B652" s="22"/>
      <c r="C652" s="14"/>
      <c r="D652" s="14"/>
      <c r="E652" s="14"/>
      <c r="F652" s="14"/>
      <c r="G652" s="14"/>
      <c r="H652" s="14"/>
      <c r="I652" s="14"/>
      <c r="J652" s="14"/>
      <c r="K652" s="14"/>
      <c r="L652" s="14"/>
      <c r="M652" s="14"/>
      <c r="N652" s="14"/>
      <c r="O652" s="14"/>
      <c r="P652" s="14"/>
      <c r="Q652" s="14"/>
      <c r="R652" s="23"/>
      <c r="S652" s="24"/>
      <c r="T652" s="25"/>
      <c r="U652" s="14"/>
      <c r="V652" s="14"/>
      <c r="W652" s="24"/>
      <c r="X652" s="14"/>
    </row>
    <row r="653">
      <c r="A653" s="14"/>
      <c r="B653" s="22"/>
      <c r="C653" s="14"/>
      <c r="D653" s="14"/>
      <c r="E653" s="14"/>
      <c r="F653" s="14"/>
      <c r="G653" s="14"/>
      <c r="H653" s="14"/>
      <c r="I653" s="14"/>
      <c r="J653" s="14"/>
      <c r="K653" s="14"/>
      <c r="L653" s="14"/>
      <c r="M653" s="14"/>
      <c r="N653" s="14"/>
      <c r="O653" s="14"/>
      <c r="P653" s="14"/>
      <c r="Q653" s="14"/>
      <c r="R653" s="23"/>
      <c r="S653" s="24"/>
      <c r="T653" s="25"/>
      <c r="U653" s="14"/>
      <c r="V653" s="14"/>
      <c r="W653" s="24"/>
      <c r="X653" s="14"/>
    </row>
    <row r="654">
      <c r="A654" s="14"/>
      <c r="B654" s="22"/>
      <c r="C654" s="14"/>
      <c r="D654" s="14"/>
      <c r="E654" s="14"/>
      <c r="F654" s="14"/>
      <c r="G654" s="14"/>
      <c r="H654" s="14"/>
      <c r="I654" s="14"/>
      <c r="J654" s="14"/>
      <c r="K654" s="14"/>
      <c r="L654" s="14"/>
      <c r="M654" s="14"/>
      <c r="N654" s="14"/>
      <c r="O654" s="14"/>
      <c r="P654" s="14"/>
      <c r="Q654" s="14"/>
      <c r="R654" s="23"/>
      <c r="S654" s="24"/>
      <c r="T654" s="25"/>
      <c r="U654" s="14"/>
      <c r="V654" s="14"/>
      <c r="W654" s="24"/>
      <c r="X654" s="14"/>
    </row>
    <row r="655">
      <c r="A655" s="14"/>
      <c r="B655" s="22"/>
      <c r="C655" s="14"/>
      <c r="D655" s="14"/>
      <c r="E655" s="14"/>
      <c r="F655" s="14"/>
      <c r="G655" s="14"/>
      <c r="H655" s="14"/>
      <c r="I655" s="14"/>
      <c r="J655" s="14"/>
      <c r="K655" s="14"/>
      <c r="L655" s="14"/>
      <c r="M655" s="14"/>
      <c r="N655" s="14"/>
      <c r="O655" s="14"/>
      <c r="P655" s="14"/>
      <c r="Q655" s="14"/>
      <c r="R655" s="23"/>
      <c r="S655" s="24"/>
      <c r="T655" s="25"/>
      <c r="U655" s="14"/>
      <c r="V655" s="14"/>
      <c r="W655" s="24"/>
      <c r="X655" s="14"/>
    </row>
    <row r="656">
      <c r="A656" s="14"/>
      <c r="B656" s="22"/>
      <c r="C656" s="14"/>
      <c r="D656" s="14"/>
      <c r="E656" s="14"/>
      <c r="F656" s="14"/>
      <c r="G656" s="14"/>
      <c r="H656" s="14"/>
      <c r="I656" s="14"/>
      <c r="J656" s="14"/>
      <c r="K656" s="14"/>
      <c r="L656" s="14"/>
      <c r="M656" s="14"/>
      <c r="N656" s="14"/>
      <c r="O656" s="14"/>
      <c r="P656" s="14"/>
      <c r="Q656" s="14"/>
      <c r="R656" s="23"/>
      <c r="S656" s="24"/>
      <c r="T656" s="25"/>
      <c r="U656" s="14"/>
      <c r="V656" s="14"/>
      <c r="W656" s="24"/>
      <c r="X656" s="14"/>
    </row>
    <row r="657">
      <c r="A657" s="14"/>
      <c r="B657" s="22"/>
      <c r="C657" s="14"/>
      <c r="D657" s="14"/>
      <c r="E657" s="14"/>
      <c r="F657" s="14"/>
      <c r="G657" s="14"/>
      <c r="H657" s="14"/>
      <c r="I657" s="14"/>
      <c r="J657" s="14"/>
      <c r="K657" s="14"/>
      <c r="L657" s="14"/>
      <c r="M657" s="14"/>
      <c r="N657" s="14"/>
      <c r="O657" s="14"/>
      <c r="P657" s="14"/>
      <c r="Q657" s="14"/>
      <c r="R657" s="23"/>
      <c r="S657" s="24"/>
      <c r="T657" s="25"/>
      <c r="U657" s="14"/>
      <c r="V657" s="14"/>
      <c r="W657" s="24"/>
      <c r="X657" s="14"/>
    </row>
    <row r="658">
      <c r="A658" s="14"/>
      <c r="B658" s="22"/>
      <c r="C658" s="14"/>
      <c r="D658" s="14"/>
      <c r="E658" s="14"/>
      <c r="F658" s="14"/>
      <c r="G658" s="14"/>
      <c r="H658" s="14"/>
      <c r="I658" s="14"/>
      <c r="J658" s="14"/>
      <c r="K658" s="14"/>
      <c r="L658" s="14"/>
      <c r="M658" s="14"/>
      <c r="N658" s="14"/>
      <c r="O658" s="14"/>
      <c r="P658" s="14"/>
      <c r="Q658" s="14"/>
      <c r="R658" s="23"/>
      <c r="S658" s="24"/>
      <c r="T658" s="25"/>
      <c r="U658" s="14"/>
      <c r="V658" s="14"/>
      <c r="W658" s="24"/>
      <c r="X658" s="14"/>
    </row>
    <row r="659">
      <c r="A659" s="14"/>
      <c r="B659" s="22"/>
      <c r="C659" s="14"/>
      <c r="D659" s="14"/>
      <c r="E659" s="14"/>
      <c r="F659" s="14"/>
      <c r="G659" s="14"/>
      <c r="H659" s="14"/>
      <c r="I659" s="14"/>
      <c r="J659" s="14"/>
      <c r="K659" s="14"/>
      <c r="L659" s="14"/>
      <c r="M659" s="14"/>
      <c r="N659" s="14"/>
      <c r="O659" s="14"/>
      <c r="P659" s="14"/>
      <c r="Q659" s="14"/>
      <c r="R659" s="23"/>
      <c r="S659" s="24"/>
      <c r="T659" s="25"/>
      <c r="U659" s="14"/>
      <c r="V659" s="14"/>
      <c r="W659" s="24"/>
      <c r="X659" s="14"/>
    </row>
    <row r="660">
      <c r="A660" s="14"/>
      <c r="B660" s="22"/>
      <c r="C660" s="14"/>
      <c r="D660" s="14"/>
      <c r="E660" s="14"/>
      <c r="F660" s="14"/>
      <c r="G660" s="14"/>
      <c r="H660" s="14"/>
      <c r="I660" s="14"/>
      <c r="J660" s="14"/>
      <c r="K660" s="14"/>
      <c r="L660" s="14"/>
      <c r="M660" s="14"/>
      <c r="N660" s="14"/>
      <c r="O660" s="14"/>
      <c r="P660" s="14"/>
      <c r="Q660" s="14"/>
      <c r="R660" s="23"/>
      <c r="S660" s="24"/>
      <c r="T660" s="25"/>
      <c r="U660" s="14"/>
      <c r="V660" s="14"/>
      <c r="W660" s="24"/>
      <c r="X660" s="14"/>
    </row>
    <row r="661">
      <c r="A661" s="14"/>
      <c r="B661" s="22"/>
      <c r="C661" s="14"/>
      <c r="D661" s="14"/>
      <c r="E661" s="14"/>
      <c r="F661" s="14"/>
      <c r="G661" s="14"/>
      <c r="H661" s="14"/>
      <c r="I661" s="14"/>
      <c r="J661" s="14"/>
      <c r="K661" s="14"/>
      <c r="L661" s="14"/>
      <c r="M661" s="14"/>
      <c r="N661" s="14"/>
      <c r="O661" s="14"/>
      <c r="P661" s="14"/>
      <c r="Q661" s="14"/>
      <c r="R661" s="23"/>
      <c r="S661" s="24"/>
      <c r="T661" s="25"/>
      <c r="U661" s="14"/>
      <c r="V661" s="14"/>
      <c r="W661" s="24"/>
      <c r="X661" s="14"/>
    </row>
    <row r="662">
      <c r="A662" s="14"/>
      <c r="B662" s="22"/>
      <c r="C662" s="14"/>
      <c r="D662" s="14"/>
      <c r="E662" s="14"/>
      <c r="F662" s="14"/>
      <c r="G662" s="14"/>
      <c r="H662" s="14"/>
      <c r="I662" s="14"/>
      <c r="J662" s="14"/>
      <c r="K662" s="14"/>
      <c r="L662" s="14"/>
      <c r="M662" s="14"/>
      <c r="N662" s="14"/>
      <c r="O662" s="14"/>
      <c r="P662" s="14"/>
      <c r="Q662" s="14"/>
      <c r="R662" s="23"/>
      <c r="S662" s="24"/>
      <c r="T662" s="25"/>
      <c r="U662" s="14"/>
      <c r="V662" s="14"/>
      <c r="W662" s="24"/>
      <c r="X662" s="14"/>
    </row>
    <row r="663">
      <c r="A663" s="14"/>
      <c r="B663" s="22"/>
      <c r="C663" s="14"/>
      <c r="D663" s="14"/>
      <c r="E663" s="14"/>
      <c r="F663" s="14"/>
      <c r="G663" s="14"/>
      <c r="H663" s="14"/>
      <c r="I663" s="14"/>
      <c r="J663" s="14"/>
      <c r="K663" s="14"/>
      <c r="L663" s="14"/>
      <c r="M663" s="14"/>
      <c r="N663" s="14"/>
      <c r="O663" s="14"/>
      <c r="P663" s="14"/>
      <c r="Q663" s="14"/>
      <c r="R663" s="23"/>
      <c r="S663" s="24"/>
      <c r="T663" s="25"/>
      <c r="U663" s="14"/>
      <c r="V663" s="14"/>
      <c r="W663" s="24"/>
      <c r="X663" s="14"/>
    </row>
    <row r="664">
      <c r="A664" s="14"/>
      <c r="B664" s="22"/>
      <c r="C664" s="14"/>
      <c r="D664" s="14"/>
      <c r="E664" s="14"/>
      <c r="F664" s="14"/>
      <c r="G664" s="14"/>
      <c r="H664" s="14"/>
      <c r="I664" s="14"/>
      <c r="J664" s="14"/>
      <c r="K664" s="14"/>
      <c r="L664" s="14"/>
      <c r="M664" s="14"/>
      <c r="N664" s="14"/>
      <c r="O664" s="14"/>
      <c r="P664" s="14"/>
      <c r="Q664" s="14"/>
      <c r="R664" s="23"/>
      <c r="S664" s="24"/>
      <c r="T664" s="25"/>
      <c r="U664" s="14"/>
      <c r="V664" s="14"/>
      <c r="W664" s="24"/>
      <c r="X664" s="14"/>
    </row>
    <row r="665">
      <c r="A665" s="14"/>
      <c r="B665" s="22"/>
      <c r="C665" s="14"/>
      <c r="D665" s="14"/>
      <c r="E665" s="14"/>
      <c r="F665" s="14"/>
      <c r="G665" s="14"/>
      <c r="H665" s="14"/>
      <c r="I665" s="14"/>
      <c r="J665" s="14"/>
      <c r="K665" s="14"/>
      <c r="L665" s="14"/>
      <c r="M665" s="14"/>
      <c r="N665" s="14"/>
      <c r="O665" s="14"/>
      <c r="P665" s="14"/>
      <c r="Q665" s="14"/>
      <c r="R665" s="23"/>
      <c r="S665" s="24"/>
      <c r="T665" s="25"/>
      <c r="U665" s="14"/>
      <c r="V665" s="14"/>
      <c r="W665" s="24"/>
      <c r="X665" s="14"/>
    </row>
    <row r="666">
      <c r="A666" s="14"/>
      <c r="B666" s="22"/>
      <c r="C666" s="14"/>
      <c r="D666" s="14"/>
      <c r="E666" s="14"/>
      <c r="F666" s="14"/>
      <c r="G666" s="14"/>
      <c r="H666" s="14"/>
      <c r="I666" s="14"/>
      <c r="J666" s="14"/>
      <c r="K666" s="14"/>
      <c r="L666" s="14"/>
      <c r="M666" s="14"/>
      <c r="N666" s="14"/>
      <c r="O666" s="14"/>
      <c r="P666" s="14"/>
      <c r="Q666" s="14"/>
      <c r="R666" s="23"/>
      <c r="S666" s="24"/>
      <c r="T666" s="25"/>
      <c r="U666" s="14"/>
      <c r="V666" s="14"/>
      <c r="W666" s="24"/>
      <c r="X666" s="14"/>
    </row>
    <row r="667">
      <c r="A667" s="14"/>
      <c r="B667" s="22"/>
      <c r="C667" s="14"/>
      <c r="D667" s="14"/>
      <c r="E667" s="14"/>
      <c r="F667" s="14"/>
      <c r="G667" s="14"/>
      <c r="H667" s="14"/>
      <c r="I667" s="14"/>
      <c r="J667" s="14"/>
      <c r="K667" s="14"/>
      <c r="L667" s="14"/>
      <c r="M667" s="14"/>
      <c r="N667" s="14"/>
      <c r="O667" s="14"/>
      <c r="P667" s="14"/>
      <c r="Q667" s="14"/>
      <c r="R667" s="23"/>
      <c r="S667" s="24"/>
      <c r="T667" s="25"/>
      <c r="U667" s="14"/>
      <c r="V667" s="14"/>
      <c r="W667" s="24"/>
      <c r="X667" s="14"/>
    </row>
    <row r="668">
      <c r="A668" s="14"/>
      <c r="B668" s="22"/>
      <c r="C668" s="14"/>
      <c r="D668" s="14"/>
      <c r="E668" s="14"/>
      <c r="F668" s="14"/>
      <c r="G668" s="14"/>
      <c r="H668" s="14"/>
      <c r="I668" s="14"/>
      <c r="J668" s="14"/>
      <c r="K668" s="14"/>
      <c r="L668" s="14"/>
      <c r="M668" s="14"/>
      <c r="N668" s="14"/>
      <c r="O668" s="14"/>
      <c r="P668" s="14"/>
      <c r="Q668" s="14"/>
      <c r="R668" s="23"/>
      <c r="S668" s="24"/>
      <c r="T668" s="25"/>
      <c r="U668" s="14"/>
      <c r="V668" s="14"/>
      <c r="W668" s="24"/>
      <c r="X668" s="14"/>
    </row>
    <row r="669">
      <c r="A669" s="14"/>
      <c r="B669" s="22"/>
      <c r="C669" s="14"/>
      <c r="D669" s="14"/>
      <c r="E669" s="14"/>
      <c r="F669" s="14"/>
      <c r="G669" s="14"/>
      <c r="H669" s="14"/>
      <c r="I669" s="14"/>
      <c r="J669" s="14"/>
      <c r="K669" s="14"/>
      <c r="L669" s="14"/>
      <c r="M669" s="14"/>
      <c r="N669" s="14"/>
      <c r="O669" s="14"/>
      <c r="P669" s="14"/>
      <c r="Q669" s="14"/>
      <c r="R669" s="23"/>
      <c r="S669" s="24"/>
      <c r="T669" s="25"/>
      <c r="U669" s="14"/>
      <c r="V669" s="14"/>
      <c r="W669" s="24"/>
      <c r="X669" s="14"/>
    </row>
    <row r="670">
      <c r="A670" s="14"/>
      <c r="B670" s="22"/>
      <c r="C670" s="14"/>
      <c r="D670" s="14"/>
      <c r="E670" s="14"/>
      <c r="F670" s="14"/>
      <c r="G670" s="14"/>
      <c r="H670" s="14"/>
      <c r="I670" s="14"/>
      <c r="J670" s="14"/>
      <c r="K670" s="14"/>
      <c r="L670" s="14"/>
      <c r="M670" s="14"/>
      <c r="N670" s="14"/>
      <c r="O670" s="14"/>
      <c r="P670" s="14"/>
      <c r="Q670" s="14"/>
      <c r="R670" s="23"/>
      <c r="S670" s="24"/>
      <c r="T670" s="25"/>
      <c r="U670" s="14"/>
      <c r="V670" s="14"/>
      <c r="W670" s="24"/>
      <c r="X670" s="14"/>
    </row>
    <row r="671">
      <c r="A671" s="14"/>
      <c r="B671" s="22"/>
      <c r="C671" s="14"/>
      <c r="D671" s="14"/>
      <c r="E671" s="14"/>
      <c r="F671" s="14"/>
      <c r="G671" s="14"/>
      <c r="H671" s="14"/>
      <c r="I671" s="14"/>
      <c r="J671" s="14"/>
      <c r="K671" s="14"/>
      <c r="L671" s="14"/>
      <c r="M671" s="14"/>
      <c r="N671" s="14"/>
      <c r="O671" s="14"/>
      <c r="P671" s="14"/>
      <c r="Q671" s="14"/>
      <c r="R671" s="23"/>
      <c r="S671" s="24"/>
      <c r="T671" s="25"/>
      <c r="U671" s="14"/>
      <c r="V671" s="14"/>
      <c r="W671" s="24"/>
      <c r="X671" s="14"/>
    </row>
    <row r="672">
      <c r="A672" s="14"/>
      <c r="B672" s="22"/>
      <c r="C672" s="14"/>
      <c r="D672" s="14"/>
      <c r="E672" s="14"/>
      <c r="F672" s="14"/>
      <c r="G672" s="14"/>
      <c r="H672" s="14"/>
      <c r="I672" s="14"/>
      <c r="J672" s="14"/>
      <c r="K672" s="14"/>
      <c r="L672" s="14"/>
      <c r="M672" s="14"/>
      <c r="N672" s="14"/>
      <c r="O672" s="14"/>
      <c r="P672" s="14"/>
      <c r="Q672" s="14"/>
      <c r="R672" s="23"/>
      <c r="S672" s="24"/>
      <c r="T672" s="25"/>
      <c r="U672" s="14"/>
      <c r="V672" s="14"/>
      <c r="W672" s="24"/>
      <c r="X672" s="14"/>
    </row>
    <row r="673">
      <c r="A673" s="14"/>
      <c r="B673" s="22"/>
      <c r="C673" s="14"/>
      <c r="D673" s="14"/>
      <c r="E673" s="14"/>
      <c r="F673" s="14"/>
      <c r="G673" s="14"/>
      <c r="H673" s="14"/>
      <c r="I673" s="14"/>
      <c r="J673" s="14"/>
      <c r="K673" s="14"/>
      <c r="L673" s="14"/>
      <c r="M673" s="14"/>
      <c r="N673" s="14"/>
      <c r="O673" s="14"/>
      <c r="P673" s="14"/>
      <c r="Q673" s="14"/>
      <c r="R673" s="23"/>
      <c r="S673" s="24"/>
      <c r="T673" s="25"/>
      <c r="U673" s="14"/>
      <c r="V673" s="14"/>
      <c r="W673" s="24"/>
      <c r="X673" s="14"/>
    </row>
    <row r="674">
      <c r="A674" s="14"/>
      <c r="B674" s="22"/>
      <c r="C674" s="14"/>
      <c r="D674" s="14"/>
      <c r="E674" s="14"/>
      <c r="F674" s="14"/>
      <c r="G674" s="14"/>
      <c r="H674" s="14"/>
      <c r="I674" s="14"/>
      <c r="J674" s="14"/>
      <c r="K674" s="14"/>
      <c r="L674" s="14"/>
      <c r="M674" s="14"/>
      <c r="N674" s="14"/>
      <c r="O674" s="14"/>
      <c r="P674" s="14"/>
      <c r="Q674" s="14"/>
      <c r="R674" s="23"/>
      <c r="S674" s="24"/>
      <c r="T674" s="25"/>
      <c r="U674" s="14"/>
      <c r="V674" s="14"/>
      <c r="W674" s="24"/>
      <c r="X674" s="14"/>
    </row>
    <row r="675">
      <c r="A675" s="14"/>
      <c r="B675" s="22"/>
      <c r="C675" s="14"/>
      <c r="D675" s="14"/>
      <c r="E675" s="14"/>
      <c r="F675" s="14"/>
      <c r="G675" s="14"/>
      <c r="H675" s="14"/>
      <c r="I675" s="14"/>
      <c r="J675" s="14"/>
      <c r="K675" s="14"/>
      <c r="L675" s="14"/>
      <c r="M675" s="14"/>
      <c r="N675" s="14"/>
      <c r="O675" s="14"/>
      <c r="P675" s="14"/>
      <c r="Q675" s="14"/>
      <c r="R675" s="23"/>
      <c r="S675" s="24"/>
      <c r="T675" s="25"/>
      <c r="U675" s="14"/>
      <c r="V675" s="14"/>
      <c r="W675" s="24"/>
      <c r="X675" s="14"/>
    </row>
    <row r="676">
      <c r="A676" s="14"/>
      <c r="B676" s="22"/>
      <c r="C676" s="14"/>
      <c r="D676" s="14"/>
      <c r="E676" s="14"/>
      <c r="F676" s="14"/>
      <c r="G676" s="14"/>
      <c r="H676" s="14"/>
      <c r="I676" s="14"/>
      <c r="J676" s="14"/>
      <c r="K676" s="14"/>
      <c r="L676" s="14"/>
      <c r="M676" s="14"/>
      <c r="N676" s="14"/>
      <c r="O676" s="14"/>
      <c r="P676" s="14"/>
      <c r="Q676" s="14"/>
      <c r="R676" s="23"/>
      <c r="S676" s="24"/>
      <c r="T676" s="25"/>
      <c r="U676" s="14"/>
      <c r="V676" s="14"/>
      <c r="W676" s="24"/>
      <c r="X676" s="14"/>
    </row>
    <row r="677">
      <c r="A677" s="14"/>
      <c r="B677" s="22"/>
      <c r="C677" s="14"/>
      <c r="D677" s="14"/>
      <c r="E677" s="14"/>
      <c r="F677" s="14"/>
      <c r="G677" s="14"/>
      <c r="H677" s="14"/>
      <c r="I677" s="14"/>
      <c r="J677" s="14"/>
      <c r="K677" s="14"/>
      <c r="L677" s="14"/>
      <c r="M677" s="14"/>
      <c r="N677" s="14"/>
      <c r="O677" s="14"/>
      <c r="P677" s="14"/>
      <c r="Q677" s="14"/>
      <c r="R677" s="23"/>
      <c r="S677" s="24"/>
      <c r="T677" s="25"/>
      <c r="U677" s="14"/>
      <c r="V677" s="14"/>
      <c r="W677" s="24"/>
      <c r="X677" s="14"/>
    </row>
    <row r="678">
      <c r="A678" s="14"/>
      <c r="B678" s="22"/>
      <c r="C678" s="14"/>
      <c r="D678" s="14"/>
      <c r="E678" s="14"/>
      <c r="F678" s="14"/>
      <c r="G678" s="14"/>
      <c r="H678" s="14"/>
      <c r="I678" s="14"/>
      <c r="J678" s="14"/>
      <c r="K678" s="14"/>
      <c r="L678" s="14"/>
      <c r="M678" s="14"/>
      <c r="N678" s="14"/>
      <c r="O678" s="14"/>
      <c r="P678" s="14"/>
      <c r="Q678" s="14"/>
      <c r="R678" s="23"/>
      <c r="S678" s="24"/>
      <c r="T678" s="25"/>
      <c r="U678" s="14"/>
      <c r="V678" s="14"/>
      <c r="W678" s="24"/>
      <c r="X678" s="14"/>
    </row>
    <row r="679">
      <c r="A679" s="14"/>
      <c r="B679" s="22"/>
      <c r="C679" s="14"/>
      <c r="D679" s="14"/>
      <c r="E679" s="14"/>
      <c r="F679" s="14"/>
      <c r="G679" s="14"/>
      <c r="H679" s="14"/>
      <c r="I679" s="14"/>
      <c r="J679" s="14"/>
      <c r="K679" s="14"/>
      <c r="L679" s="14"/>
      <c r="M679" s="14"/>
      <c r="N679" s="14"/>
      <c r="O679" s="14"/>
      <c r="P679" s="14"/>
      <c r="Q679" s="14"/>
      <c r="R679" s="23"/>
      <c r="S679" s="24"/>
      <c r="T679" s="25"/>
      <c r="U679" s="14"/>
      <c r="V679" s="14"/>
      <c r="W679" s="24"/>
      <c r="X679" s="14"/>
    </row>
    <row r="680">
      <c r="A680" s="14"/>
      <c r="B680" s="22"/>
      <c r="C680" s="14"/>
      <c r="D680" s="14"/>
      <c r="E680" s="14"/>
      <c r="F680" s="14"/>
      <c r="G680" s="14"/>
      <c r="H680" s="14"/>
      <c r="I680" s="14"/>
      <c r="J680" s="14"/>
      <c r="K680" s="14"/>
      <c r="L680" s="14"/>
      <c r="M680" s="14"/>
      <c r="N680" s="14"/>
      <c r="O680" s="14"/>
      <c r="P680" s="14"/>
      <c r="Q680" s="14"/>
      <c r="R680" s="23"/>
      <c r="S680" s="24"/>
      <c r="T680" s="25"/>
      <c r="U680" s="14"/>
      <c r="V680" s="14"/>
      <c r="W680" s="24"/>
      <c r="X680" s="14"/>
    </row>
    <row r="681">
      <c r="A681" s="14"/>
      <c r="B681" s="22"/>
      <c r="C681" s="14"/>
      <c r="D681" s="14"/>
      <c r="E681" s="14"/>
      <c r="F681" s="14"/>
      <c r="G681" s="14"/>
      <c r="H681" s="14"/>
      <c r="I681" s="14"/>
      <c r="J681" s="14"/>
      <c r="K681" s="14"/>
      <c r="L681" s="14"/>
      <c r="M681" s="14"/>
      <c r="N681" s="14"/>
      <c r="O681" s="14"/>
      <c r="P681" s="14"/>
      <c r="Q681" s="14"/>
      <c r="R681" s="23"/>
      <c r="S681" s="24"/>
      <c r="T681" s="25"/>
      <c r="U681" s="14"/>
      <c r="V681" s="14"/>
      <c r="W681" s="24"/>
      <c r="X681" s="14"/>
    </row>
    <row r="682">
      <c r="A682" s="14"/>
      <c r="B682" s="22"/>
      <c r="C682" s="14"/>
      <c r="D682" s="14"/>
      <c r="E682" s="14"/>
      <c r="F682" s="14"/>
      <c r="G682" s="14"/>
      <c r="H682" s="14"/>
      <c r="I682" s="14"/>
      <c r="J682" s="14"/>
      <c r="K682" s="14"/>
      <c r="L682" s="14"/>
      <c r="M682" s="14"/>
      <c r="N682" s="14"/>
      <c r="O682" s="14"/>
      <c r="P682" s="14"/>
      <c r="Q682" s="14"/>
      <c r="R682" s="23"/>
      <c r="S682" s="24"/>
      <c r="T682" s="25"/>
      <c r="U682" s="14"/>
      <c r="V682" s="14"/>
      <c r="W682" s="24"/>
      <c r="X682" s="14"/>
    </row>
    <row r="683">
      <c r="A683" s="14"/>
      <c r="B683" s="22"/>
      <c r="C683" s="14"/>
      <c r="D683" s="14"/>
      <c r="E683" s="14"/>
      <c r="F683" s="14"/>
      <c r="G683" s="14"/>
      <c r="H683" s="14"/>
      <c r="I683" s="14"/>
      <c r="J683" s="14"/>
      <c r="K683" s="14"/>
      <c r="L683" s="14"/>
      <c r="M683" s="14"/>
      <c r="N683" s="14"/>
      <c r="O683" s="14"/>
      <c r="P683" s="14"/>
      <c r="Q683" s="14"/>
      <c r="R683" s="23"/>
      <c r="S683" s="24"/>
      <c r="T683" s="25"/>
      <c r="U683" s="14"/>
      <c r="V683" s="14"/>
      <c r="W683" s="24"/>
      <c r="X683" s="14"/>
    </row>
    <row r="684">
      <c r="A684" s="14"/>
      <c r="B684" s="22"/>
      <c r="C684" s="14"/>
      <c r="D684" s="14"/>
      <c r="E684" s="14"/>
      <c r="F684" s="14"/>
      <c r="G684" s="14"/>
      <c r="H684" s="14"/>
      <c r="I684" s="14"/>
      <c r="J684" s="14"/>
      <c r="K684" s="14"/>
      <c r="L684" s="14"/>
      <c r="M684" s="14"/>
      <c r="N684" s="14"/>
      <c r="O684" s="14"/>
      <c r="P684" s="14"/>
      <c r="Q684" s="14"/>
      <c r="R684" s="23"/>
      <c r="S684" s="24"/>
      <c r="T684" s="25"/>
      <c r="U684" s="14"/>
      <c r="V684" s="14"/>
      <c r="W684" s="24"/>
      <c r="X684" s="14"/>
    </row>
    <row r="685">
      <c r="A685" s="14"/>
      <c r="B685" s="22"/>
      <c r="C685" s="14"/>
      <c r="D685" s="14"/>
      <c r="E685" s="14"/>
      <c r="F685" s="14"/>
      <c r="G685" s="14"/>
      <c r="H685" s="14"/>
      <c r="I685" s="14"/>
      <c r="J685" s="14"/>
      <c r="K685" s="14"/>
      <c r="L685" s="14"/>
      <c r="M685" s="14"/>
      <c r="N685" s="14"/>
      <c r="O685" s="14"/>
      <c r="P685" s="14"/>
      <c r="Q685" s="14"/>
      <c r="R685" s="23"/>
      <c r="S685" s="24"/>
      <c r="T685" s="25"/>
      <c r="U685" s="14"/>
      <c r="V685" s="14"/>
      <c r="W685" s="24"/>
      <c r="X685" s="14"/>
    </row>
    <row r="686">
      <c r="A686" s="14"/>
      <c r="B686" s="22"/>
      <c r="C686" s="14"/>
      <c r="D686" s="14"/>
      <c r="E686" s="14"/>
      <c r="F686" s="14"/>
      <c r="G686" s="14"/>
      <c r="H686" s="14"/>
      <c r="I686" s="14"/>
      <c r="J686" s="14"/>
      <c r="K686" s="14"/>
      <c r="L686" s="14"/>
      <c r="M686" s="14"/>
      <c r="N686" s="14"/>
      <c r="O686" s="14"/>
      <c r="P686" s="14"/>
      <c r="Q686" s="14"/>
      <c r="R686" s="23"/>
      <c r="S686" s="24"/>
      <c r="T686" s="25"/>
      <c r="U686" s="14"/>
      <c r="V686" s="14"/>
      <c r="W686" s="24"/>
      <c r="X686" s="14"/>
    </row>
    <row r="687">
      <c r="A687" s="14"/>
      <c r="B687" s="22"/>
      <c r="C687" s="14"/>
      <c r="D687" s="14"/>
      <c r="E687" s="14"/>
      <c r="F687" s="14"/>
      <c r="G687" s="14"/>
      <c r="H687" s="14"/>
      <c r="I687" s="14"/>
      <c r="J687" s="14"/>
      <c r="K687" s="14"/>
      <c r="L687" s="14"/>
      <c r="M687" s="14"/>
      <c r="N687" s="14"/>
      <c r="O687" s="14"/>
      <c r="P687" s="14"/>
      <c r="Q687" s="14"/>
      <c r="R687" s="23"/>
      <c r="S687" s="24"/>
      <c r="T687" s="25"/>
      <c r="U687" s="14"/>
      <c r="V687" s="14"/>
      <c r="W687" s="24"/>
      <c r="X687" s="14"/>
    </row>
    <row r="688">
      <c r="A688" s="14"/>
      <c r="B688" s="22"/>
      <c r="C688" s="14"/>
      <c r="D688" s="14"/>
      <c r="E688" s="14"/>
      <c r="F688" s="14"/>
      <c r="G688" s="14"/>
      <c r="H688" s="14"/>
      <c r="I688" s="14"/>
      <c r="J688" s="14"/>
      <c r="K688" s="14"/>
      <c r="L688" s="14"/>
      <c r="M688" s="14"/>
      <c r="N688" s="14"/>
      <c r="O688" s="14"/>
      <c r="P688" s="14"/>
      <c r="Q688" s="14"/>
      <c r="R688" s="23"/>
      <c r="S688" s="24"/>
      <c r="T688" s="25"/>
      <c r="U688" s="14"/>
      <c r="V688" s="14"/>
      <c r="W688" s="24"/>
      <c r="X688" s="14"/>
    </row>
    <row r="689">
      <c r="A689" s="14"/>
      <c r="B689" s="22"/>
      <c r="C689" s="14"/>
      <c r="D689" s="14"/>
      <c r="E689" s="14"/>
      <c r="F689" s="14"/>
      <c r="G689" s="14"/>
      <c r="H689" s="14"/>
      <c r="I689" s="14"/>
      <c r="J689" s="14"/>
      <c r="K689" s="14"/>
      <c r="L689" s="14"/>
      <c r="M689" s="14"/>
      <c r="N689" s="14"/>
      <c r="O689" s="14"/>
      <c r="P689" s="14"/>
      <c r="Q689" s="14"/>
      <c r="R689" s="23"/>
      <c r="S689" s="24"/>
      <c r="T689" s="25"/>
      <c r="U689" s="14"/>
      <c r="V689" s="14"/>
      <c r="W689" s="24"/>
      <c r="X689" s="14"/>
    </row>
    <row r="690">
      <c r="A690" s="14"/>
      <c r="B690" s="22"/>
      <c r="C690" s="14"/>
      <c r="D690" s="14"/>
      <c r="E690" s="14"/>
      <c r="F690" s="14"/>
      <c r="G690" s="14"/>
      <c r="H690" s="14"/>
      <c r="I690" s="14"/>
      <c r="J690" s="14"/>
      <c r="K690" s="14"/>
      <c r="L690" s="14"/>
      <c r="M690" s="14"/>
      <c r="N690" s="14"/>
      <c r="O690" s="14"/>
      <c r="P690" s="14"/>
      <c r="Q690" s="14"/>
      <c r="R690" s="23"/>
      <c r="S690" s="24"/>
      <c r="T690" s="25"/>
      <c r="U690" s="14"/>
      <c r="V690" s="14"/>
      <c r="W690" s="24"/>
      <c r="X690" s="14"/>
    </row>
    <row r="691">
      <c r="A691" s="14"/>
      <c r="B691" s="22"/>
      <c r="C691" s="14"/>
      <c r="D691" s="14"/>
      <c r="E691" s="14"/>
      <c r="F691" s="14"/>
      <c r="G691" s="14"/>
      <c r="H691" s="14"/>
      <c r="I691" s="14"/>
      <c r="J691" s="14"/>
      <c r="K691" s="14"/>
      <c r="L691" s="14"/>
      <c r="M691" s="14"/>
      <c r="N691" s="14"/>
      <c r="O691" s="14"/>
      <c r="P691" s="14"/>
      <c r="Q691" s="14"/>
      <c r="R691" s="23"/>
      <c r="S691" s="24"/>
      <c r="T691" s="25"/>
      <c r="U691" s="14"/>
      <c r="V691" s="14"/>
      <c r="W691" s="24"/>
      <c r="X691" s="14"/>
    </row>
    <row r="692">
      <c r="A692" s="14"/>
      <c r="B692" s="22"/>
      <c r="C692" s="14"/>
      <c r="D692" s="14"/>
      <c r="E692" s="14"/>
      <c r="F692" s="14"/>
      <c r="G692" s="14"/>
      <c r="H692" s="14"/>
      <c r="I692" s="14"/>
      <c r="J692" s="14"/>
      <c r="K692" s="14"/>
      <c r="L692" s="14"/>
      <c r="M692" s="14"/>
      <c r="N692" s="14"/>
      <c r="O692" s="14"/>
      <c r="P692" s="14"/>
      <c r="Q692" s="14"/>
      <c r="R692" s="23"/>
      <c r="S692" s="24"/>
      <c r="T692" s="25"/>
      <c r="U692" s="14"/>
      <c r="V692" s="14"/>
      <c r="W692" s="24"/>
      <c r="X692" s="14"/>
    </row>
    <row r="693">
      <c r="A693" s="14"/>
      <c r="B693" s="22"/>
      <c r="C693" s="14"/>
      <c r="D693" s="14"/>
      <c r="E693" s="14"/>
      <c r="F693" s="14"/>
      <c r="G693" s="14"/>
      <c r="H693" s="14"/>
      <c r="I693" s="14"/>
      <c r="J693" s="14"/>
      <c r="K693" s="14"/>
      <c r="L693" s="14"/>
      <c r="M693" s="14"/>
      <c r="N693" s="14"/>
      <c r="O693" s="14"/>
      <c r="P693" s="14"/>
      <c r="Q693" s="14"/>
      <c r="R693" s="23"/>
      <c r="S693" s="24"/>
      <c r="T693" s="25"/>
      <c r="U693" s="14"/>
      <c r="V693" s="14"/>
      <c r="W693" s="24"/>
      <c r="X693" s="14"/>
    </row>
    <row r="694">
      <c r="A694" s="14"/>
      <c r="B694" s="22"/>
      <c r="C694" s="14"/>
      <c r="D694" s="14"/>
      <c r="E694" s="14"/>
      <c r="F694" s="14"/>
      <c r="G694" s="14"/>
      <c r="H694" s="14"/>
      <c r="I694" s="14"/>
      <c r="J694" s="14"/>
      <c r="K694" s="14"/>
      <c r="L694" s="14"/>
      <c r="M694" s="14"/>
      <c r="N694" s="14"/>
      <c r="O694" s="14"/>
      <c r="P694" s="14"/>
      <c r="Q694" s="14"/>
      <c r="R694" s="23"/>
      <c r="S694" s="24"/>
      <c r="T694" s="25"/>
      <c r="U694" s="14"/>
      <c r="V694" s="14"/>
      <c r="W694" s="24"/>
      <c r="X694" s="14"/>
    </row>
    <row r="695">
      <c r="A695" s="14"/>
      <c r="B695" s="22"/>
      <c r="C695" s="14"/>
      <c r="D695" s="14"/>
      <c r="E695" s="14"/>
      <c r="F695" s="14"/>
      <c r="G695" s="14"/>
      <c r="H695" s="14"/>
      <c r="I695" s="14"/>
      <c r="J695" s="14"/>
      <c r="K695" s="14"/>
      <c r="L695" s="14"/>
      <c r="M695" s="14"/>
      <c r="N695" s="14"/>
      <c r="O695" s="14"/>
      <c r="P695" s="14"/>
      <c r="Q695" s="14"/>
      <c r="R695" s="23"/>
      <c r="S695" s="24"/>
      <c r="T695" s="25"/>
      <c r="U695" s="14"/>
      <c r="V695" s="14"/>
      <c r="W695" s="24"/>
      <c r="X695" s="14"/>
    </row>
    <row r="696">
      <c r="A696" s="14"/>
      <c r="B696" s="22"/>
      <c r="C696" s="14"/>
      <c r="D696" s="14"/>
      <c r="E696" s="14"/>
      <c r="F696" s="14"/>
      <c r="G696" s="14"/>
      <c r="H696" s="14"/>
      <c r="I696" s="14"/>
      <c r="J696" s="14"/>
      <c r="K696" s="14"/>
      <c r="L696" s="14"/>
      <c r="M696" s="14"/>
      <c r="N696" s="14"/>
      <c r="O696" s="14"/>
      <c r="P696" s="14"/>
      <c r="Q696" s="14"/>
      <c r="R696" s="23"/>
      <c r="S696" s="24"/>
      <c r="T696" s="25"/>
      <c r="U696" s="14"/>
      <c r="V696" s="14"/>
      <c r="W696" s="24"/>
      <c r="X696" s="14"/>
    </row>
    <row r="697">
      <c r="A697" s="14"/>
      <c r="B697" s="22"/>
      <c r="C697" s="14"/>
      <c r="D697" s="14"/>
      <c r="E697" s="14"/>
      <c r="F697" s="14"/>
      <c r="G697" s="14"/>
      <c r="H697" s="14"/>
      <c r="I697" s="14"/>
      <c r="J697" s="14"/>
      <c r="K697" s="14"/>
      <c r="L697" s="14"/>
      <c r="M697" s="14"/>
      <c r="N697" s="14"/>
      <c r="O697" s="14"/>
      <c r="P697" s="14"/>
      <c r="Q697" s="14"/>
      <c r="R697" s="23"/>
      <c r="S697" s="24"/>
      <c r="T697" s="25"/>
      <c r="U697" s="14"/>
      <c r="V697" s="14"/>
      <c r="W697" s="24"/>
      <c r="X697" s="14"/>
    </row>
    <row r="698">
      <c r="A698" s="14"/>
      <c r="B698" s="22"/>
      <c r="C698" s="14"/>
      <c r="D698" s="14"/>
      <c r="E698" s="14"/>
      <c r="F698" s="14"/>
      <c r="G698" s="14"/>
      <c r="H698" s="14"/>
      <c r="I698" s="14"/>
      <c r="J698" s="14"/>
      <c r="K698" s="14"/>
      <c r="L698" s="14"/>
      <c r="M698" s="14"/>
      <c r="N698" s="14"/>
      <c r="O698" s="14"/>
      <c r="P698" s="14"/>
      <c r="Q698" s="14"/>
      <c r="R698" s="23"/>
      <c r="S698" s="24"/>
      <c r="T698" s="25"/>
      <c r="U698" s="14"/>
      <c r="V698" s="14"/>
      <c r="W698" s="24"/>
      <c r="X698" s="14"/>
    </row>
    <row r="699">
      <c r="A699" s="14"/>
      <c r="B699" s="22"/>
      <c r="C699" s="14"/>
      <c r="D699" s="14"/>
      <c r="E699" s="14"/>
      <c r="F699" s="14"/>
      <c r="G699" s="14"/>
      <c r="H699" s="14"/>
      <c r="I699" s="14"/>
      <c r="J699" s="14"/>
      <c r="K699" s="14"/>
      <c r="L699" s="14"/>
      <c r="M699" s="14"/>
      <c r="N699" s="14"/>
      <c r="O699" s="14"/>
      <c r="P699" s="14"/>
      <c r="Q699" s="14"/>
      <c r="R699" s="23"/>
      <c r="S699" s="24"/>
      <c r="T699" s="25"/>
      <c r="U699" s="14"/>
      <c r="V699" s="14"/>
      <c r="W699" s="24"/>
      <c r="X699" s="14"/>
    </row>
    <row r="700">
      <c r="A700" s="14"/>
      <c r="B700" s="22"/>
      <c r="C700" s="14"/>
      <c r="D700" s="14"/>
      <c r="E700" s="14"/>
      <c r="F700" s="14"/>
      <c r="G700" s="14"/>
      <c r="H700" s="14"/>
      <c r="I700" s="14"/>
      <c r="J700" s="14"/>
      <c r="K700" s="14"/>
      <c r="L700" s="14"/>
      <c r="M700" s="14"/>
      <c r="N700" s="14"/>
      <c r="O700" s="14"/>
      <c r="P700" s="14"/>
      <c r="Q700" s="14"/>
      <c r="R700" s="23"/>
      <c r="S700" s="24"/>
      <c r="T700" s="25"/>
      <c r="U700" s="14"/>
      <c r="V700" s="14"/>
      <c r="W700" s="24"/>
      <c r="X700" s="14"/>
    </row>
    <row r="701">
      <c r="A701" s="14"/>
      <c r="B701" s="22"/>
      <c r="C701" s="14"/>
      <c r="D701" s="14"/>
      <c r="E701" s="14"/>
      <c r="F701" s="14"/>
      <c r="G701" s="14"/>
      <c r="H701" s="14"/>
      <c r="I701" s="14"/>
      <c r="J701" s="14"/>
      <c r="K701" s="14"/>
      <c r="L701" s="14"/>
      <c r="M701" s="14"/>
      <c r="N701" s="14"/>
      <c r="O701" s="14"/>
      <c r="P701" s="14"/>
      <c r="Q701" s="14"/>
      <c r="R701" s="23"/>
      <c r="S701" s="24"/>
      <c r="T701" s="25"/>
      <c r="U701" s="14"/>
      <c r="V701" s="14"/>
      <c r="W701" s="24"/>
      <c r="X701" s="14"/>
    </row>
    <row r="702">
      <c r="A702" s="14"/>
      <c r="B702" s="22"/>
      <c r="C702" s="14"/>
      <c r="D702" s="14"/>
      <c r="E702" s="14"/>
      <c r="F702" s="14"/>
      <c r="G702" s="14"/>
      <c r="H702" s="14"/>
      <c r="I702" s="14"/>
      <c r="J702" s="14"/>
      <c r="K702" s="14"/>
      <c r="L702" s="14"/>
      <c r="M702" s="14"/>
      <c r="N702" s="14"/>
      <c r="O702" s="14"/>
      <c r="P702" s="14"/>
      <c r="Q702" s="14"/>
      <c r="R702" s="23"/>
      <c r="S702" s="24"/>
      <c r="T702" s="25"/>
      <c r="U702" s="14"/>
      <c r="V702" s="14"/>
      <c r="W702" s="24"/>
      <c r="X702" s="14"/>
    </row>
    <row r="703">
      <c r="A703" s="14"/>
      <c r="B703" s="22"/>
      <c r="C703" s="14"/>
      <c r="D703" s="14"/>
      <c r="E703" s="14"/>
      <c r="F703" s="14"/>
      <c r="G703" s="14"/>
      <c r="H703" s="14"/>
      <c r="I703" s="14"/>
      <c r="J703" s="14"/>
      <c r="K703" s="14"/>
      <c r="L703" s="14"/>
      <c r="M703" s="14"/>
      <c r="N703" s="14"/>
      <c r="O703" s="14"/>
      <c r="P703" s="14"/>
      <c r="Q703" s="14"/>
      <c r="R703" s="23"/>
      <c r="S703" s="24"/>
      <c r="T703" s="25"/>
      <c r="U703" s="14"/>
      <c r="V703" s="14"/>
      <c r="W703" s="24"/>
      <c r="X703" s="14"/>
    </row>
    <row r="704">
      <c r="A704" s="14"/>
      <c r="B704" s="22"/>
      <c r="C704" s="14"/>
      <c r="D704" s="14"/>
      <c r="E704" s="14"/>
      <c r="F704" s="14"/>
      <c r="G704" s="14"/>
      <c r="H704" s="14"/>
      <c r="I704" s="14"/>
      <c r="J704" s="14"/>
      <c r="K704" s="14"/>
      <c r="L704" s="14"/>
      <c r="M704" s="14"/>
      <c r="N704" s="14"/>
      <c r="O704" s="14"/>
      <c r="P704" s="14"/>
      <c r="Q704" s="14"/>
      <c r="R704" s="23"/>
      <c r="S704" s="24"/>
      <c r="T704" s="25"/>
      <c r="U704" s="14"/>
      <c r="V704" s="14"/>
      <c r="W704" s="24"/>
      <c r="X704" s="14"/>
    </row>
    <row r="705">
      <c r="A705" s="14"/>
      <c r="B705" s="22"/>
      <c r="C705" s="14"/>
      <c r="D705" s="14"/>
      <c r="E705" s="14"/>
      <c r="F705" s="14"/>
      <c r="G705" s="14"/>
      <c r="H705" s="14"/>
      <c r="I705" s="14"/>
      <c r="J705" s="14"/>
      <c r="K705" s="14"/>
      <c r="L705" s="14"/>
      <c r="M705" s="14"/>
      <c r="N705" s="14"/>
      <c r="O705" s="14"/>
      <c r="P705" s="14"/>
      <c r="Q705" s="14"/>
      <c r="R705" s="23"/>
      <c r="S705" s="24"/>
      <c r="T705" s="25"/>
      <c r="U705" s="14"/>
      <c r="V705" s="14"/>
      <c r="W705" s="24"/>
      <c r="X705" s="14"/>
    </row>
    <row r="706">
      <c r="A706" s="14"/>
      <c r="B706" s="22"/>
      <c r="C706" s="14"/>
      <c r="D706" s="14"/>
      <c r="E706" s="14"/>
      <c r="F706" s="14"/>
      <c r="G706" s="14"/>
      <c r="H706" s="14"/>
      <c r="I706" s="14"/>
      <c r="J706" s="14"/>
      <c r="K706" s="14"/>
      <c r="L706" s="14"/>
      <c r="M706" s="14"/>
      <c r="N706" s="14"/>
      <c r="O706" s="14"/>
      <c r="P706" s="14"/>
      <c r="Q706" s="14"/>
      <c r="R706" s="23"/>
      <c r="S706" s="24"/>
      <c r="T706" s="25"/>
      <c r="U706" s="14"/>
      <c r="V706" s="14"/>
      <c r="W706" s="24"/>
      <c r="X706" s="14"/>
    </row>
    <row r="707">
      <c r="A707" s="14"/>
      <c r="B707" s="22"/>
      <c r="C707" s="14"/>
      <c r="D707" s="14"/>
      <c r="E707" s="14"/>
      <c r="F707" s="14"/>
      <c r="G707" s="14"/>
      <c r="H707" s="14"/>
      <c r="I707" s="14"/>
      <c r="J707" s="14"/>
      <c r="K707" s="14"/>
      <c r="L707" s="14"/>
      <c r="M707" s="14"/>
      <c r="N707" s="14"/>
      <c r="O707" s="14"/>
      <c r="P707" s="14"/>
      <c r="Q707" s="14"/>
      <c r="R707" s="23"/>
      <c r="S707" s="24"/>
      <c r="T707" s="25"/>
      <c r="U707" s="14"/>
      <c r="V707" s="14"/>
      <c r="W707" s="24"/>
      <c r="X707" s="14"/>
    </row>
    <row r="708">
      <c r="A708" s="14"/>
      <c r="B708" s="22"/>
      <c r="C708" s="14"/>
      <c r="D708" s="14"/>
      <c r="E708" s="14"/>
      <c r="F708" s="14"/>
      <c r="G708" s="14"/>
      <c r="H708" s="14"/>
      <c r="I708" s="14"/>
      <c r="J708" s="14"/>
      <c r="K708" s="14"/>
      <c r="L708" s="14"/>
      <c r="M708" s="14"/>
      <c r="N708" s="14"/>
      <c r="O708" s="14"/>
      <c r="P708" s="14"/>
      <c r="Q708" s="14"/>
      <c r="R708" s="23"/>
      <c r="S708" s="24"/>
      <c r="T708" s="25"/>
      <c r="U708" s="14"/>
      <c r="V708" s="14"/>
      <c r="W708" s="24"/>
      <c r="X708" s="14"/>
    </row>
    <row r="709">
      <c r="A709" s="14"/>
      <c r="B709" s="22"/>
      <c r="C709" s="14"/>
      <c r="D709" s="14"/>
      <c r="E709" s="14"/>
      <c r="F709" s="14"/>
      <c r="G709" s="14"/>
      <c r="H709" s="14"/>
      <c r="I709" s="14"/>
      <c r="J709" s="14"/>
      <c r="K709" s="14"/>
      <c r="L709" s="14"/>
      <c r="M709" s="14"/>
      <c r="N709" s="14"/>
      <c r="O709" s="14"/>
      <c r="P709" s="14"/>
      <c r="Q709" s="14"/>
      <c r="R709" s="23"/>
      <c r="S709" s="24"/>
      <c r="T709" s="25"/>
      <c r="U709" s="14"/>
      <c r="V709" s="14"/>
      <c r="W709" s="24"/>
      <c r="X709" s="14"/>
    </row>
    <row r="710">
      <c r="A710" s="14"/>
      <c r="B710" s="22"/>
      <c r="C710" s="14"/>
      <c r="D710" s="14"/>
      <c r="E710" s="14"/>
      <c r="F710" s="14"/>
      <c r="G710" s="14"/>
      <c r="H710" s="14"/>
      <c r="I710" s="14"/>
      <c r="J710" s="14"/>
      <c r="K710" s="14"/>
      <c r="L710" s="14"/>
      <c r="M710" s="14"/>
      <c r="N710" s="14"/>
      <c r="O710" s="14"/>
      <c r="P710" s="14"/>
      <c r="Q710" s="14"/>
      <c r="R710" s="23"/>
      <c r="S710" s="24"/>
      <c r="T710" s="25"/>
      <c r="U710" s="14"/>
      <c r="V710" s="14"/>
      <c r="W710" s="24"/>
      <c r="X710" s="14"/>
    </row>
    <row r="711">
      <c r="A711" s="14"/>
      <c r="B711" s="22"/>
      <c r="C711" s="14"/>
      <c r="D711" s="14"/>
      <c r="E711" s="14"/>
      <c r="F711" s="14"/>
      <c r="G711" s="14"/>
      <c r="H711" s="14"/>
      <c r="I711" s="14"/>
      <c r="J711" s="14"/>
      <c r="K711" s="14"/>
      <c r="L711" s="14"/>
      <c r="M711" s="14"/>
      <c r="N711" s="14"/>
      <c r="O711" s="14"/>
      <c r="P711" s="14"/>
      <c r="Q711" s="14"/>
      <c r="R711" s="23"/>
      <c r="S711" s="24"/>
      <c r="T711" s="25"/>
      <c r="U711" s="14"/>
      <c r="V711" s="14"/>
      <c r="W711" s="24"/>
      <c r="X711" s="14"/>
    </row>
    <row r="712">
      <c r="A712" s="14"/>
      <c r="B712" s="22"/>
      <c r="C712" s="14"/>
      <c r="D712" s="14"/>
      <c r="E712" s="14"/>
      <c r="F712" s="14"/>
      <c r="G712" s="14"/>
      <c r="H712" s="14"/>
      <c r="I712" s="14"/>
      <c r="J712" s="14"/>
      <c r="K712" s="14"/>
      <c r="L712" s="14"/>
      <c r="M712" s="14"/>
      <c r="N712" s="14"/>
      <c r="O712" s="14"/>
      <c r="P712" s="14"/>
      <c r="Q712" s="14"/>
      <c r="R712" s="23"/>
      <c r="S712" s="24"/>
      <c r="T712" s="25"/>
      <c r="U712" s="14"/>
      <c r="V712" s="14"/>
      <c r="W712" s="24"/>
      <c r="X712" s="14"/>
    </row>
    <row r="713">
      <c r="A713" s="14"/>
      <c r="B713" s="22"/>
      <c r="C713" s="14"/>
      <c r="D713" s="14"/>
      <c r="E713" s="14"/>
      <c r="F713" s="14"/>
      <c r="G713" s="14"/>
      <c r="H713" s="14"/>
      <c r="I713" s="14"/>
      <c r="J713" s="14"/>
      <c r="K713" s="14"/>
      <c r="L713" s="14"/>
      <c r="M713" s="14"/>
      <c r="N713" s="14"/>
      <c r="O713" s="14"/>
      <c r="P713" s="14"/>
      <c r="Q713" s="14"/>
      <c r="R713" s="23"/>
      <c r="S713" s="24"/>
      <c r="T713" s="25"/>
      <c r="U713" s="14"/>
      <c r="V713" s="14"/>
      <c r="W713" s="24"/>
      <c r="X713" s="14"/>
    </row>
    <row r="714">
      <c r="A714" s="14"/>
      <c r="B714" s="22"/>
      <c r="C714" s="14"/>
      <c r="D714" s="14"/>
      <c r="E714" s="14"/>
      <c r="F714" s="14"/>
      <c r="G714" s="14"/>
      <c r="H714" s="14"/>
      <c r="I714" s="14"/>
      <c r="J714" s="14"/>
      <c r="K714" s="14"/>
      <c r="L714" s="14"/>
      <c r="M714" s="14"/>
      <c r="N714" s="14"/>
      <c r="O714" s="14"/>
      <c r="P714" s="14"/>
      <c r="Q714" s="14"/>
      <c r="R714" s="23"/>
      <c r="S714" s="24"/>
      <c r="T714" s="25"/>
      <c r="U714" s="14"/>
      <c r="V714" s="14"/>
      <c r="W714" s="24"/>
      <c r="X714" s="14"/>
    </row>
    <row r="715">
      <c r="A715" s="14"/>
      <c r="B715" s="22"/>
      <c r="C715" s="14"/>
      <c r="D715" s="14"/>
      <c r="E715" s="14"/>
      <c r="F715" s="14"/>
      <c r="G715" s="14"/>
      <c r="H715" s="14"/>
      <c r="I715" s="14"/>
      <c r="J715" s="14"/>
      <c r="K715" s="14"/>
      <c r="L715" s="14"/>
      <c r="M715" s="14"/>
      <c r="N715" s="14"/>
      <c r="O715" s="14"/>
      <c r="P715" s="14"/>
      <c r="Q715" s="14"/>
      <c r="R715" s="23"/>
      <c r="S715" s="24"/>
      <c r="T715" s="25"/>
      <c r="U715" s="14"/>
      <c r="V715" s="14"/>
      <c r="W715" s="24"/>
      <c r="X715" s="14"/>
    </row>
    <row r="716">
      <c r="A716" s="14"/>
      <c r="B716" s="22"/>
      <c r="C716" s="14"/>
      <c r="D716" s="14"/>
      <c r="E716" s="14"/>
      <c r="F716" s="14"/>
      <c r="G716" s="14"/>
      <c r="H716" s="14"/>
      <c r="I716" s="14"/>
      <c r="J716" s="14"/>
      <c r="K716" s="14"/>
      <c r="L716" s="14"/>
      <c r="M716" s="14"/>
      <c r="N716" s="14"/>
      <c r="O716" s="14"/>
      <c r="P716" s="14"/>
      <c r="Q716" s="14"/>
      <c r="R716" s="23"/>
      <c r="S716" s="24"/>
      <c r="T716" s="25"/>
      <c r="U716" s="14"/>
      <c r="V716" s="14"/>
      <c r="W716" s="24"/>
      <c r="X716" s="14"/>
    </row>
    <row r="717">
      <c r="A717" s="14"/>
      <c r="B717" s="22"/>
      <c r="C717" s="14"/>
      <c r="D717" s="14"/>
      <c r="E717" s="14"/>
      <c r="F717" s="14"/>
      <c r="G717" s="14"/>
      <c r="H717" s="14"/>
      <c r="I717" s="14"/>
      <c r="J717" s="14"/>
      <c r="K717" s="14"/>
      <c r="L717" s="14"/>
      <c r="M717" s="14"/>
      <c r="N717" s="14"/>
      <c r="O717" s="14"/>
      <c r="P717" s="14"/>
      <c r="Q717" s="14"/>
      <c r="R717" s="23"/>
      <c r="S717" s="24"/>
      <c r="T717" s="25"/>
      <c r="U717" s="14"/>
      <c r="V717" s="14"/>
      <c r="W717" s="24"/>
      <c r="X717" s="14"/>
    </row>
    <row r="718">
      <c r="A718" s="14"/>
      <c r="B718" s="22"/>
      <c r="C718" s="14"/>
      <c r="D718" s="14"/>
      <c r="E718" s="14"/>
      <c r="F718" s="14"/>
      <c r="G718" s="14"/>
      <c r="H718" s="14"/>
      <c r="I718" s="14"/>
      <c r="J718" s="14"/>
      <c r="K718" s="14"/>
      <c r="L718" s="14"/>
      <c r="M718" s="14"/>
      <c r="N718" s="14"/>
      <c r="O718" s="14"/>
      <c r="P718" s="14"/>
      <c r="Q718" s="14"/>
      <c r="R718" s="23"/>
      <c r="S718" s="24"/>
      <c r="T718" s="25"/>
      <c r="U718" s="14"/>
      <c r="V718" s="14"/>
      <c r="W718" s="24"/>
      <c r="X718" s="14"/>
    </row>
    <row r="719">
      <c r="A719" s="14"/>
      <c r="B719" s="22"/>
      <c r="C719" s="14"/>
      <c r="D719" s="14"/>
      <c r="E719" s="14"/>
      <c r="F719" s="14"/>
      <c r="G719" s="14"/>
      <c r="H719" s="14"/>
      <c r="I719" s="14"/>
      <c r="J719" s="14"/>
      <c r="K719" s="14"/>
      <c r="L719" s="14"/>
      <c r="M719" s="14"/>
      <c r="N719" s="14"/>
      <c r="O719" s="14"/>
      <c r="P719" s="14"/>
      <c r="Q719" s="14"/>
      <c r="R719" s="23"/>
      <c r="S719" s="24"/>
      <c r="T719" s="25"/>
      <c r="U719" s="14"/>
      <c r="V719" s="14"/>
      <c r="W719" s="24"/>
      <c r="X719" s="14"/>
    </row>
    <row r="720">
      <c r="A720" s="14"/>
      <c r="B720" s="22"/>
      <c r="C720" s="14"/>
      <c r="D720" s="14"/>
      <c r="E720" s="14"/>
      <c r="F720" s="14"/>
      <c r="G720" s="14"/>
      <c r="H720" s="14"/>
      <c r="I720" s="14"/>
      <c r="J720" s="14"/>
      <c r="K720" s="14"/>
      <c r="L720" s="14"/>
      <c r="M720" s="14"/>
      <c r="N720" s="14"/>
      <c r="O720" s="14"/>
      <c r="P720" s="14"/>
      <c r="Q720" s="14"/>
      <c r="R720" s="23"/>
      <c r="S720" s="24"/>
      <c r="T720" s="25"/>
      <c r="U720" s="14"/>
      <c r="V720" s="14"/>
      <c r="W720" s="24"/>
      <c r="X720" s="14"/>
    </row>
    <row r="721">
      <c r="A721" s="14"/>
      <c r="B721" s="22"/>
      <c r="C721" s="14"/>
      <c r="D721" s="14"/>
      <c r="E721" s="14"/>
      <c r="F721" s="14"/>
      <c r="G721" s="14"/>
      <c r="H721" s="14"/>
      <c r="I721" s="14"/>
      <c r="J721" s="14"/>
      <c r="K721" s="14"/>
      <c r="L721" s="14"/>
      <c r="M721" s="14"/>
      <c r="N721" s="14"/>
      <c r="O721" s="14"/>
      <c r="P721" s="14"/>
      <c r="Q721" s="14"/>
      <c r="R721" s="23"/>
      <c r="S721" s="24"/>
      <c r="T721" s="25"/>
      <c r="U721" s="14"/>
      <c r="V721" s="14"/>
      <c r="W721" s="24"/>
      <c r="X721" s="14"/>
    </row>
    <row r="722">
      <c r="A722" s="14"/>
      <c r="B722" s="22"/>
      <c r="C722" s="14"/>
      <c r="D722" s="14"/>
      <c r="E722" s="14"/>
      <c r="F722" s="14"/>
      <c r="G722" s="14"/>
      <c r="H722" s="14"/>
      <c r="I722" s="14"/>
      <c r="J722" s="14"/>
      <c r="K722" s="14"/>
      <c r="L722" s="14"/>
      <c r="M722" s="14"/>
      <c r="N722" s="14"/>
      <c r="O722" s="14"/>
      <c r="P722" s="14"/>
      <c r="Q722" s="14"/>
      <c r="R722" s="23"/>
      <c r="S722" s="24"/>
      <c r="T722" s="25"/>
      <c r="U722" s="14"/>
      <c r="V722" s="14"/>
      <c r="W722" s="24"/>
      <c r="X722" s="14"/>
    </row>
    <row r="723">
      <c r="A723" s="14"/>
      <c r="B723" s="22"/>
      <c r="C723" s="14"/>
      <c r="D723" s="14"/>
      <c r="E723" s="14"/>
      <c r="F723" s="14"/>
      <c r="G723" s="14"/>
      <c r="H723" s="14"/>
      <c r="I723" s="14"/>
      <c r="J723" s="14"/>
      <c r="K723" s="14"/>
      <c r="L723" s="14"/>
      <c r="M723" s="14"/>
      <c r="N723" s="14"/>
      <c r="O723" s="14"/>
      <c r="P723" s="14"/>
      <c r="Q723" s="14"/>
      <c r="R723" s="23"/>
      <c r="S723" s="24"/>
      <c r="T723" s="25"/>
      <c r="U723" s="14"/>
      <c r="V723" s="14"/>
      <c r="W723" s="24"/>
      <c r="X723" s="14"/>
    </row>
    <row r="724">
      <c r="A724" s="14"/>
      <c r="B724" s="22"/>
      <c r="C724" s="14"/>
      <c r="D724" s="14"/>
      <c r="E724" s="14"/>
      <c r="F724" s="14"/>
      <c r="G724" s="14"/>
      <c r="H724" s="14"/>
      <c r="I724" s="14"/>
      <c r="J724" s="14"/>
      <c r="K724" s="14"/>
      <c r="L724" s="14"/>
      <c r="M724" s="14"/>
      <c r="N724" s="14"/>
      <c r="O724" s="14"/>
      <c r="P724" s="14"/>
      <c r="Q724" s="14"/>
      <c r="R724" s="23"/>
      <c r="S724" s="24"/>
      <c r="T724" s="25"/>
      <c r="U724" s="14"/>
      <c r="V724" s="14"/>
      <c r="W724" s="24"/>
      <c r="X724" s="14"/>
    </row>
    <row r="725">
      <c r="A725" s="14"/>
      <c r="B725" s="22"/>
      <c r="C725" s="14"/>
      <c r="D725" s="14"/>
      <c r="E725" s="14"/>
      <c r="F725" s="14"/>
      <c r="G725" s="14"/>
      <c r="H725" s="14"/>
      <c r="I725" s="14"/>
      <c r="J725" s="14"/>
      <c r="K725" s="14"/>
      <c r="L725" s="14"/>
      <c r="M725" s="14"/>
      <c r="N725" s="14"/>
      <c r="O725" s="14"/>
      <c r="P725" s="14"/>
      <c r="Q725" s="14"/>
      <c r="R725" s="23"/>
      <c r="S725" s="24"/>
      <c r="T725" s="25"/>
      <c r="U725" s="14"/>
      <c r="V725" s="14"/>
      <c r="W725" s="24"/>
      <c r="X725" s="14"/>
    </row>
    <row r="726">
      <c r="A726" s="14"/>
      <c r="B726" s="22"/>
      <c r="C726" s="14"/>
      <c r="D726" s="14"/>
      <c r="E726" s="14"/>
      <c r="F726" s="14"/>
      <c r="G726" s="14"/>
      <c r="H726" s="14"/>
      <c r="I726" s="14"/>
      <c r="J726" s="14"/>
      <c r="K726" s="14"/>
      <c r="L726" s="14"/>
      <c r="M726" s="14"/>
      <c r="N726" s="14"/>
      <c r="O726" s="14"/>
      <c r="P726" s="14"/>
      <c r="Q726" s="14"/>
      <c r="R726" s="23"/>
      <c r="S726" s="24"/>
      <c r="T726" s="25"/>
      <c r="U726" s="14"/>
      <c r="V726" s="14"/>
      <c r="W726" s="24"/>
      <c r="X726" s="14"/>
    </row>
    <row r="727">
      <c r="A727" s="14"/>
      <c r="B727" s="22"/>
      <c r="C727" s="14"/>
      <c r="D727" s="14"/>
      <c r="E727" s="14"/>
      <c r="F727" s="14"/>
      <c r="G727" s="14"/>
      <c r="H727" s="14"/>
      <c r="I727" s="14"/>
      <c r="J727" s="14"/>
      <c r="K727" s="14"/>
      <c r="L727" s="14"/>
      <c r="M727" s="14"/>
      <c r="N727" s="14"/>
      <c r="O727" s="14"/>
      <c r="P727" s="14"/>
      <c r="Q727" s="14"/>
      <c r="R727" s="23"/>
      <c r="S727" s="24"/>
      <c r="T727" s="25"/>
      <c r="U727" s="14"/>
      <c r="V727" s="14"/>
      <c r="W727" s="24"/>
      <c r="X727" s="14"/>
    </row>
    <row r="728">
      <c r="A728" s="14"/>
      <c r="B728" s="22"/>
      <c r="C728" s="14"/>
      <c r="D728" s="14"/>
      <c r="E728" s="14"/>
      <c r="F728" s="14"/>
      <c r="G728" s="14"/>
      <c r="H728" s="14"/>
      <c r="I728" s="14"/>
      <c r="J728" s="14"/>
      <c r="K728" s="14"/>
      <c r="L728" s="14"/>
      <c r="M728" s="14"/>
      <c r="N728" s="14"/>
      <c r="O728" s="14"/>
      <c r="P728" s="14"/>
      <c r="Q728" s="14"/>
      <c r="R728" s="23"/>
      <c r="S728" s="24"/>
      <c r="T728" s="25"/>
      <c r="U728" s="14"/>
      <c r="V728" s="14"/>
      <c r="W728" s="24"/>
      <c r="X728" s="14"/>
    </row>
    <row r="729">
      <c r="A729" s="14"/>
      <c r="B729" s="22"/>
      <c r="C729" s="14"/>
      <c r="D729" s="14"/>
      <c r="E729" s="14"/>
      <c r="F729" s="14"/>
      <c r="G729" s="14"/>
      <c r="H729" s="14"/>
      <c r="I729" s="14"/>
      <c r="J729" s="14"/>
      <c r="K729" s="14"/>
      <c r="L729" s="14"/>
      <c r="M729" s="14"/>
      <c r="N729" s="14"/>
      <c r="O729" s="14"/>
      <c r="P729" s="14"/>
      <c r="Q729" s="14"/>
      <c r="R729" s="23"/>
      <c r="S729" s="24"/>
      <c r="T729" s="25"/>
      <c r="U729" s="14"/>
      <c r="V729" s="14"/>
      <c r="W729" s="24"/>
      <c r="X729" s="14"/>
    </row>
    <row r="730">
      <c r="A730" s="14"/>
      <c r="B730" s="22"/>
      <c r="C730" s="14"/>
      <c r="D730" s="14"/>
      <c r="E730" s="14"/>
      <c r="F730" s="14"/>
      <c r="G730" s="14"/>
      <c r="H730" s="14"/>
      <c r="I730" s="14"/>
      <c r="J730" s="14"/>
      <c r="K730" s="14"/>
      <c r="L730" s="14"/>
      <c r="M730" s="14"/>
      <c r="N730" s="14"/>
      <c r="O730" s="14"/>
      <c r="P730" s="14"/>
      <c r="Q730" s="14"/>
      <c r="R730" s="23"/>
      <c r="S730" s="24"/>
      <c r="T730" s="25"/>
      <c r="U730" s="14"/>
      <c r="V730" s="14"/>
      <c r="W730" s="24"/>
      <c r="X730" s="14"/>
    </row>
    <row r="731">
      <c r="A731" s="14"/>
      <c r="B731" s="22"/>
      <c r="C731" s="14"/>
      <c r="D731" s="14"/>
      <c r="E731" s="14"/>
      <c r="F731" s="14"/>
      <c r="G731" s="14"/>
      <c r="H731" s="14"/>
      <c r="I731" s="14"/>
      <c r="J731" s="14"/>
      <c r="K731" s="14"/>
      <c r="L731" s="14"/>
      <c r="M731" s="14"/>
      <c r="N731" s="14"/>
      <c r="O731" s="14"/>
      <c r="P731" s="14"/>
      <c r="Q731" s="14"/>
      <c r="R731" s="23"/>
      <c r="S731" s="24"/>
      <c r="T731" s="25"/>
      <c r="U731" s="14"/>
      <c r="V731" s="14"/>
      <c r="W731" s="24"/>
      <c r="X731" s="14"/>
    </row>
    <row r="732">
      <c r="A732" s="14"/>
      <c r="B732" s="22"/>
      <c r="C732" s="14"/>
      <c r="D732" s="14"/>
      <c r="E732" s="14"/>
      <c r="F732" s="14"/>
      <c r="G732" s="14"/>
      <c r="H732" s="14"/>
      <c r="I732" s="14"/>
      <c r="J732" s="14"/>
      <c r="K732" s="14"/>
      <c r="L732" s="14"/>
      <c r="M732" s="14"/>
      <c r="N732" s="14"/>
      <c r="O732" s="14"/>
      <c r="P732" s="14"/>
      <c r="Q732" s="14"/>
      <c r="R732" s="23"/>
      <c r="S732" s="24"/>
      <c r="T732" s="25"/>
      <c r="U732" s="14"/>
      <c r="V732" s="14"/>
      <c r="W732" s="24"/>
      <c r="X732" s="14"/>
    </row>
    <row r="733">
      <c r="A733" s="14"/>
      <c r="B733" s="22"/>
      <c r="C733" s="14"/>
      <c r="D733" s="14"/>
      <c r="E733" s="14"/>
      <c r="F733" s="14"/>
      <c r="G733" s="14"/>
      <c r="H733" s="14"/>
      <c r="I733" s="14"/>
      <c r="J733" s="14"/>
      <c r="K733" s="14"/>
      <c r="L733" s="14"/>
      <c r="M733" s="14"/>
      <c r="N733" s="14"/>
      <c r="O733" s="14"/>
      <c r="P733" s="14"/>
      <c r="Q733" s="14"/>
      <c r="R733" s="23"/>
      <c r="S733" s="24"/>
      <c r="T733" s="25"/>
      <c r="U733" s="14"/>
      <c r="V733" s="14"/>
      <c r="W733" s="24"/>
      <c r="X733" s="14"/>
    </row>
    <row r="734">
      <c r="A734" s="14"/>
      <c r="B734" s="22"/>
      <c r="C734" s="14"/>
      <c r="D734" s="14"/>
      <c r="E734" s="14"/>
      <c r="F734" s="14"/>
      <c r="G734" s="14"/>
      <c r="H734" s="14"/>
      <c r="I734" s="14"/>
      <c r="J734" s="14"/>
      <c r="K734" s="14"/>
      <c r="L734" s="14"/>
      <c r="M734" s="14"/>
      <c r="N734" s="14"/>
      <c r="O734" s="14"/>
      <c r="P734" s="14"/>
      <c r="Q734" s="14"/>
      <c r="R734" s="23"/>
      <c r="S734" s="24"/>
      <c r="T734" s="25"/>
      <c r="U734" s="14"/>
      <c r="V734" s="14"/>
      <c r="W734" s="24"/>
      <c r="X734" s="14"/>
    </row>
    <row r="735">
      <c r="A735" s="14"/>
      <c r="B735" s="22"/>
      <c r="C735" s="14"/>
      <c r="D735" s="14"/>
      <c r="E735" s="14"/>
      <c r="F735" s="14"/>
      <c r="G735" s="14"/>
      <c r="H735" s="14"/>
      <c r="I735" s="14"/>
      <c r="J735" s="14"/>
      <c r="K735" s="14"/>
      <c r="L735" s="14"/>
      <c r="M735" s="14"/>
      <c r="N735" s="14"/>
      <c r="O735" s="14"/>
      <c r="P735" s="14"/>
      <c r="Q735" s="14"/>
      <c r="R735" s="23"/>
      <c r="S735" s="24"/>
      <c r="T735" s="25"/>
      <c r="U735" s="14"/>
      <c r="V735" s="14"/>
      <c r="W735" s="24"/>
      <c r="X735" s="14"/>
    </row>
    <row r="736">
      <c r="A736" s="14"/>
      <c r="B736" s="22"/>
      <c r="C736" s="14"/>
      <c r="D736" s="14"/>
      <c r="E736" s="14"/>
      <c r="F736" s="14"/>
      <c r="G736" s="14"/>
      <c r="H736" s="14"/>
      <c r="I736" s="14"/>
      <c r="J736" s="14"/>
      <c r="K736" s="14"/>
      <c r="L736" s="14"/>
      <c r="M736" s="14"/>
      <c r="N736" s="14"/>
      <c r="O736" s="14"/>
      <c r="P736" s="14"/>
      <c r="Q736" s="14"/>
      <c r="R736" s="23"/>
      <c r="S736" s="24"/>
      <c r="T736" s="25"/>
      <c r="U736" s="14"/>
      <c r="V736" s="14"/>
      <c r="W736" s="24"/>
      <c r="X736" s="14"/>
    </row>
    <row r="737">
      <c r="A737" s="14"/>
      <c r="B737" s="22"/>
      <c r="C737" s="14"/>
      <c r="D737" s="14"/>
      <c r="E737" s="14"/>
      <c r="F737" s="14"/>
      <c r="G737" s="14"/>
      <c r="H737" s="14"/>
      <c r="I737" s="14"/>
      <c r="J737" s="14"/>
      <c r="K737" s="14"/>
      <c r="L737" s="14"/>
      <c r="M737" s="14"/>
      <c r="N737" s="14"/>
      <c r="O737" s="14"/>
      <c r="P737" s="14"/>
      <c r="Q737" s="14"/>
      <c r="R737" s="23"/>
      <c r="S737" s="24"/>
      <c r="T737" s="25"/>
      <c r="U737" s="14"/>
      <c r="V737" s="14"/>
      <c r="W737" s="24"/>
      <c r="X737" s="14"/>
    </row>
    <row r="738">
      <c r="A738" s="14"/>
      <c r="B738" s="22"/>
      <c r="C738" s="14"/>
      <c r="D738" s="14"/>
      <c r="E738" s="14"/>
      <c r="F738" s="14"/>
      <c r="G738" s="14"/>
      <c r="H738" s="14"/>
      <c r="I738" s="14"/>
      <c r="J738" s="14"/>
      <c r="K738" s="14"/>
      <c r="L738" s="14"/>
      <c r="M738" s="14"/>
      <c r="N738" s="14"/>
      <c r="O738" s="14"/>
      <c r="P738" s="14"/>
      <c r="Q738" s="14"/>
      <c r="R738" s="23"/>
      <c r="S738" s="24"/>
      <c r="T738" s="25"/>
      <c r="U738" s="14"/>
      <c r="V738" s="14"/>
      <c r="W738" s="24"/>
      <c r="X738" s="14"/>
    </row>
    <row r="739">
      <c r="A739" s="14"/>
      <c r="B739" s="22"/>
      <c r="C739" s="14"/>
      <c r="D739" s="14"/>
      <c r="E739" s="14"/>
      <c r="F739" s="14"/>
      <c r="G739" s="14"/>
      <c r="H739" s="14"/>
      <c r="I739" s="14"/>
      <c r="J739" s="14"/>
      <c r="K739" s="14"/>
      <c r="L739" s="14"/>
      <c r="M739" s="14"/>
      <c r="N739" s="14"/>
      <c r="O739" s="14"/>
      <c r="P739" s="14"/>
      <c r="Q739" s="14"/>
      <c r="R739" s="23"/>
      <c r="S739" s="24"/>
      <c r="T739" s="25"/>
      <c r="U739" s="14"/>
      <c r="V739" s="14"/>
      <c r="W739" s="24"/>
      <c r="X739" s="14"/>
    </row>
    <row r="740">
      <c r="A740" s="14"/>
      <c r="B740" s="22"/>
      <c r="C740" s="14"/>
      <c r="D740" s="14"/>
      <c r="E740" s="14"/>
      <c r="F740" s="14"/>
      <c r="G740" s="14"/>
      <c r="H740" s="14"/>
      <c r="I740" s="14"/>
      <c r="J740" s="14"/>
      <c r="K740" s="14"/>
      <c r="L740" s="14"/>
      <c r="M740" s="14"/>
      <c r="N740" s="14"/>
      <c r="O740" s="14"/>
      <c r="P740" s="14"/>
      <c r="Q740" s="14"/>
      <c r="R740" s="23"/>
      <c r="S740" s="24"/>
      <c r="T740" s="25"/>
      <c r="U740" s="14"/>
      <c r="V740" s="14"/>
      <c r="W740" s="24"/>
      <c r="X740" s="14"/>
    </row>
    <row r="741">
      <c r="A741" s="14"/>
      <c r="B741" s="22"/>
      <c r="C741" s="14"/>
      <c r="D741" s="14"/>
      <c r="E741" s="14"/>
      <c r="F741" s="14"/>
      <c r="G741" s="14"/>
      <c r="H741" s="14"/>
      <c r="I741" s="14"/>
      <c r="J741" s="14"/>
      <c r="K741" s="14"/>
      <c r="L741" s="14"/>
      <c r="M741" s="14"/>
      <c r="N741" s="14"/>
      <c r="O741" s="14"/>
      <c r="P741" s="14"/>
      <c r="Q741" s="14"/>
      <c r="R741" s="23"/>
      <c r="S741" s="24"/>
      <c r="T741" s="25"/>
      <c r="U741" s="14"/>
      <c r="V741" s="14"/>
      <c r="W741" s="24"/>
      <c r="X741" s="14"/>
    </row>
    <row r="742">
      <c r="A742" s="14"/>
      <c r="B742" s="22"/>
      <c r="C742" s="14"/>
      <c r="D742" s="14"/>
      <c r="E742" s="14"/>
      <c r="F742" s="14"/>
      <c r="G742" s="14"/>
      <c r="H742" s="14"/>
      <c r="I742" s="14"/>
      <c r="J742" s="14"/>
      <c r="K742" s="14"/>
      <c r="L742" s="14"/>
      <c r="M742" s="14"/>
      <c r="N742" s="14"/>
      <c r="O742" s="14"/>
      <c r="P742" s="14"/>
      <c r="Q742" s="14"/>
      <c r="R742" s="23"/>
      <c r="S742" s="24"/>
      <c r="T742" s="25"/>
      <c r="U742" s="14"/>
      <c r="V742" s="14"/>
      <c r="W742" s="24"/>
      <c r="X742" s="14"/>
    </row>
    <row r="743">
      <c r="A743" s="14"/>
      <c r="B743" s="22"/>
      <c r="C743" s="14"/>
      <c r="D743" s="14"/>
      <c r="E743" s="14"/>
      <c r="F743" s="14"/>
      <c r="G743" s="14"/>
      <c r="H743" s="14"/>
      <c r="I743" s="14"/>
      <c r="J743" s="14"/>
      <c r="K743" s="14"/>
      <c r="L743" s="14"/>
      <c r="M743" s="14"/>
      <c r="N743" s="14"/>
      <c r="O743" s="14"/>
      <c r="P743" s="14"/>
      <c r="Q743" s="14"/>
      <c r="R743" s="23"/>
      <c r="S743" s="24"/>
      <c r="T743" s="25"/>
      <c r="U743" s="14"/>
      <c r="V743" s="14"/>
      <c r="W743" s="24"/>
      <c r="X743" s="14"/>
    </row>
    <row r="744">
      <c r="A744" s="14"/>
      <c r="B744" s="22"/>
      <c r="C744" s="14"/>
      <c r="D744" s="14"/>
      <c r="E744" s="14"/>
      <c r="F744" s="14"/>
      <c r="G744" s="14"/>
      <c r="H744" s="14"/>
      <c r="I744" s="14"/>
      <c r="J744" s="14"/>
      <c r="K744" s="14"/>
      <c r="L744" s="14"/>
      <c r="M744" s="14"/>
      <c r="N744" s="14"/>
      <c r="O744" s="14"/>
      <c r="P744" s="14"/>
      <c r="Q744" s="14"/>
      <c r="R744" s="23"/>
      <c r="S744" s="24"/>
      <c r="T744" s="25"/>
      <c r="U744" s="14"/>
      <c r="V744" s="14"/>
      <c r="W744" s="24"/>
      <c r="X744" s="14"/>
    </row>
    <row r="745">
      <c r="A745" s="14"/>
      <c r="B745" s="22"/>
      <c r="C745" s="14"/>
      <c r="D745" s="14"/>
      <c r="E745" s="14"/>
      <c r="F745" s="14"/>
      <c r="G745" s="14"/>
      <c r="H745" s="14"/>
      <c r="I745" s="14"/>
      <c r="J745" s="14"/>
      <c r="K745" s="14"/>
      <c r="L745" s="14"/>
      <c r="M745" s="14"/>
      <c r="N745" s="14"/>
      <c r="O745" s="14"/>
      <c r="P745" s="14"/>
      <c r="Q745" s="14"/>
      <c r="R745" s="23"/>
      <c r="S745" s="24"/>
      <c r="T745" s="25"/>
      <c r="U745" s="14"/>
      <c r="V745" s="14"/>
      <c r="W745" s="24"/>
      <c r="X745" s="14"/>
    </row>
    <row r="746">
      <c r="A746" s="14"/>
      <c r="B746" s="22"/>
      <c r="C746" s="14"/>
      <c r="D746" s="14"/>
      <c r="E746" s="14"/>
      <c r="F746" s="14"/>
      <c r="G746" s="14"/>
      <c r="H746" s="14"/>
      <c r="I746" s="14"/>
      <c r="J746" s="14"/>
      <c r="K746" s="14"/>
      <c r="L746" s="14"/>
      <c r="M746" s="14"/>
      <c r="N746" s="14"/>
      <c r="O746" s="14"/>
      <c r="P746" s="14"/>
      <c r="Q746" s="14"/>
      <c r="R746" s="23"/>
      <c r="S746" s="24"/>
      <c r="T746" s="25"/>
      <c r="U746" s="14"/>
      <c r="V746" s="14"/>
      <c r="W746" s="24"/>
      <c r="X746" s="14"/>
    </row>
    <row r="747">
      <c r="A747" s="14"/>
      <c r="B747" s="22"/>
      <c r="C747" s="14"/>
      <c r="D747" s="14"/>
      <c r="E747" s="14"/>
      <c r="F747" s="14"/>
      <c r="G747" s="14"/>
      <c r="H747" s="14"/>
      <c r="I747" s="14"/>
      <c r="J747" s="14"/>
      <c r="K747" s="14"/>
      <c r="L747" s="14"/>
      <c r="M747" s="14"/>
      <c r="N747" s="14"/>
      <c r="O747" s="14"/>
      <c r="P747" s="14"/>
      <c r="Q747" s="14"/>
      <c r="R747" s="23"/>
      <c r="S747" s="24"/>
      <c r="T747" s="25"/>
      <c r="U747" s="14"/>
      <c r="V747" s="14"/>
      <c r="W747" s="24"/>
      <c r="X747" s="14"/>
    </row>
    <row r="748">
      <c r="A748" s="14"/>
      <c r="B748" s="22"/>
      <c r="C748" s="14"/>
      <c r="D748" s="14"/>
      <c r="E748" s="14"/>
      <c r="F748" s="14"/>
      <c r="G748" s="14"/>
      <c r="H748" s="14"/>
      <c r="I748" s="14"/>
      <c r="J748" s="14"/>
      <c r="K748" s="14"/>
      <c r="L748" s="14"/>
      <c r="M748" s="14"/>
      <c r="N748" s="14"/>
      <c r="O748" s="14"/>
      <c r="P748" s="14"/>
      <c r="Q748" s="14"/>
      <c r="R748" s="23"/>
      <c r="S748" s="24"/>
      <c r="T748" s="25"/>
      <c r="U748" s="14"/>
      <c r="V748" s="14"/>
      <c r="W748" s="24"/>
      <c r="X748" s="14"/>
    </row>
    <row r="749">
      <c r="A749" s="14"/>
      <c r="B749" s="22"/>
      <c r="C749" s="14"/>
      <c r="D749" s="14"/>
      <c r="E749" s="14"/>
      <c r="F749" s="14"/>
      <c r="G749" s="14"/>
      <c r="H749" s="14"/>
      <c r="I749" s="14"/>
      <c r="J749" s="14"/>
      <c r="K749" s="14"/>
      <c r="L749" s="14"/>
      <c r="M749" s="14"/>
      <c r="N749" s="14"/>
      <c r="O749" s="14"/>
      <c r="P749" s="14"/>
      <c r="Q749" s="14"/>
      <c r="R749" s="23"/>
      <c r="S749" s="24"/>
      <c r="T749" s="25"/>
      <c r="U749" s="14"/>
      <c r="V749" s="14"/>
      <c r="W749" s="24"/>
      <c r="X749" s="14"/>
    </row>
    <row r="750">
      <c r="A750" s="14"/>
      <c r="B750" s="22"/>
      <c r="C750" s="14"/>
      <c r="D750" s="14"/>
      <c r="E750" s="14"/>
      <c r="F750" s="14"/>
      <c r="G750" s="14"/>
      <c r="H750" s="14"/>
      <c r="I750" s="14"/>
      <c r="J750" s="14"/>
      <c r="K750" s="14"/>
      <c r="L750" s="14"/>
      <c r="M750" s="14"/>
      <c r="N750" s="14"/>
      <c r="O750" s="14"/>
      <c r="P750" s="14"/>
      <c r="Q750" s="14"/>
      <c r="R750" s="23"/>
      <c r="S750" s="24"/>
      <c r="T750" s="25"/>
      <c r="U750" s="14"/>
      <c r="V750" s="14"/>
      <c r="W750" s="24"/>
      <c r="X750" s="14"/>
    </row>
    <row r="751">
      <c r="A751" s="14"/>
      <c r="B751" s="22"/>
      <c r="C751" s="14"/>
      <c r="D751" s="14"/>
      <c r="E751" s="14"/>
      <c r="F751" s="14"/>
      <c r="G751" s="14"/>
      <c r="H751" s="14"/>
      <c r="I751" s="14"/>
      <c r="J751" s="14"/>
      <c r="K751" s="14"/>
      <c r="L751" s="14"/>
      <c r="M751" s="14"/>
      <c r="N751" s="14"/>
      <c r="O751" s="14"/>
      <c r="P751" s="14"/>
      <c r="Q751" s="14"/>
      <c r="R751" s="23"/>
      <c r="S751" s="24"/>
      <c r="T751" s="25"/>
      <c r="U751" s="14"/>
      <c r="V751" s="14"/>
      <c r="W751" s="24"/>
      <c r="X751" s="14"/>
    </row>
    <row r="752">
      <c r="A752" s="14"/>
      <c r="B752" s="22"/>
      <c r="C752" s="14"/>
      <c r="D752" s="14"/>
      <c r="E752" s="14"/>
      <c r="F752" s="14"/>
      <c r="G752" s="14"/>
      <c r="H752" s="14"/>
      <c r="I752" s="14"/>
      <c r="J752" s="14"/>
      <c r="K752" s="14"/>
      <c r="L752" s="14"/>
      <c r="M752" s="14"/>
      <c r="N752" s="14"/>
      <c r="O752" s="14"/>
      <c r="P752" s="14"/>
      <c r="Q752" s="14"/>
      <c r="R752" s="23"/>
      <c r="S752" s="24"/>
      <c r="T752" s="25"/>
      <c r="U752" s="14"/>
      <c r="V752" s="14"/>
      <c r="W752" s="24"/>
      <c r="X752" s="14"/>
    </row>
    <row r="753">
      <c r="A753" s="14"/>
      <c r="B753" s="22"/>
      <c r="C753" s="14"/>
      <c r="D753" s="14"/>
      <c r="E753" s="14"/>
      <c r="F753" s="14"/>
      <c r="G753" s="14"/>
      <c r="H753" s="14"/>
      <c r="I753" s="14"/>
      <c r="J753" s="14"/>
      <c r="K753" s="14"/>
      <c r="L753" s="14"/>
      <c r="M753" s="14"/>
      <c r="N753" s="14"/>
      <c r="O753" s="14"/>
      <c r="P753" s="14"/>
      <c r="Q753" s="14"/>
      <c r="R753" s="23"/>
      <c r="S753" s="24"/>
      <c r="T753" s="25"/>
      <c r="U753" s="14"/>
      <c r="V753" s="14"/>
      <c r="W753" s="24"/>
      <c r="X753" s="14"/>
    </row>
    <row r="754">
      <c r="A754" s="14"/>
      <c r="B754" s="22"/>
      <c r="C754" s="14"/>
      <c r="D754" s="14"/>
      <c r="E754" s="14"/>
      <c r="F754" s="14"/>
      <c r="G754" s="14"/>
      <c r="H754" s="14"/>
      <c r="I754" s="14"/>
      <c r="J754" s="14"/>
      <c r="K754" s="14"/>
      <c r="L754" s="14"/>
      <c r="M754" s="14"/>
      <c r="N754" s="14"/>
      <c r="O754" s="14"/>
      <c r="P754" s="14"/>
      <c r="Q754" s="14"/>
      <c r="R754" s="23"/>
      <c r="S754" s="24"/>
      <c r="T754" s="25"/>
      <c r="U754" s="14"/>
      <c r="V754" s="14"/>
      <c r="W754" s="24"/>
      <c r="X754" s="14"/>
    </row>
    <row r="755">
      <c r="A755" s="14"/>
      <c r="B755" s="22"/>
      <c r="C755" s="14"/>
      <c r="D755" s="14"/>
      <c r="E755" s="14"/>
      <c r="F755" s="14"/>
      <c r="G755" s="14"/>
      <c r="H755" s="14"/>
      <c r="I755" s="14"/>
      <c r="J755" s="14"/>
      <c r="K755" s="14"/>
      <c r="L755" s="14"/>
      <c r="M755" s="14"/>
      <c r="N755" s="14"/>
      <c r="O755" s="14"/>
      <c r="P755" s="14"/>
      <c r="Q755" s="14"/>
      <c r="R755" s="23"/>
      <c r="S755" s="24"/>
      <c r="T755" s="25"/>
      <c r="U755" s="14"/>
      <c r="V755" s="14"/>
      <c r="W755" s="24"/>
      <c r="X755" s="14"/>
    </row>
    <row r="756">
      <c r="A756" s="14"/>
      <c r="B756" s="22"/>
      <c r="C756" s="14"/>
      <c r="D756" s="14"/>
      <c r="E756" s="14"/>
      <c r="F756" s="14"/>
      <c r="G756" s="14"/>
      <c r="H756" s="14"/>
      <c r="I756" s="14"/>
      <c r="J756" s="14"/>
      <c r="K756" s="14"/>
      <c r="L756" s="14"/>
      <c r="M756" s="14"/>
      <c r="N756" s="14"/>
      <c r="O756" s="14"/>
      <c r="P756" s="14"/>
      <c r="Q756" s="14"/>
      <c r="R756" s="23"/>
      <c r="S756" s="24"/>
      <c r="T756" s="25"/>
      <c r="U756" s="14"/>
      <c r="V756" s="14"/>
      <c r="W756" s="24"/>
      <c r="X756" s="14"/>
    </row>
    <row r="757">
      <c r="A757" s="14"/>
      <c r="B757" s="22"/>
      <c r="C757" s="14"/>
      <c r="D757" s="14"/>
      <c r="E757" s="14"/>
      <c r="F757" s="14"/>
      <c r="G757" s="14"/>
      <c r="H757" s="14"/>
      <c r="I757" s="14"/>
      <c r="J757" s="14"/>
      <c r="K757" s="14"/>
      <c r="L757" s="14"/>
      <c r="M757" s="14"/>
      <c r="N757" s="14"/>
      <c r="O757" s="14"/>
      <c r="P757" s="14"/>
      <c r="Q757" s="14"/>
      <c r="R757" s="23"/>
      <c r="S757" s="24"/>
      <c r="T757" s="25"/>
      <c r="U757" s="14"/>
      <c r="V757" s="14"/>
      <c r="W757" s="24"/>
      <c r="X757" s="14"/>
    </row>
    <row r="758">
      <c r="A758" s="14"/>
      <c r="B758" s="22"/>
      <c r="C758" s="14"/>
      <c r="D758" s="14"/>
      <c r="E758" s="14"/>
      <c r="F758" s="14"/>
      <c r="G758" s="14"/>
      <c r="H758" s="14"/>
      <c r="I758" s="14"/>
      <c r="J758" s="14"/>
      <c r="K758" s="14"/>
      <c r="L758" s="14"/>
      <c r="M758" s="14"/>
      <c r="N758" s="14"/>
      <c r="O758" s="14"/>
      <c r="P758" s="14"/>
      <c r="Q758" s="14"/>
      <c r="R758" s="23"/>
      <c r="S758" s="24"/>
      <c r="T758" s="25"/>
      <c r="U758" s="14"/>
      <c r="V758" s="14"/>
      <c r="W758" s="24"/>
      <c r="X758" s="14"/>
    </row>
    <row r="759">
      <c r="A759" s="14"/>
      <c r="B759" s="22"/>
      <c r="C759" s="14"/>
      <c r="D759" s="14"/>
      <c r="E759" s="14"/>
      <c r="F759" s="14"/>
      <c r="G759" s="14"/>
      <c r="H759" s="14"/>
      <c r="I759" s="14"/>
      <c r="J759" s="14"/>
      <c r="K759" s="14"/>
      <c r="L759" s="14"/>
      <c r="M759" s="14"/>
      <c r="N759" s="14"/>
      <c r="O759" s="14"/>
      <c r="P759" s="14"/>
      <c r="Q759" s="14"/>
      <c r="R759" s="23"/>
      <c r="S759" s="24"/>
      <c r="T759" s="25"/>
      <c r="U759" s="14"/>
      <c r="V759" s="14"/>
      <c r="W759" s="24"/>
      <c r="X759" s="14"/>
    </row>
    <row r="760">
      <c r="A760" s="14"/>
      <c r="B760" s="22"/>
      <c r="C760" s="14"/>
      <c r="D760" s="14"/>
      <c r="E760" s="14"/>
      <c r="F760" s="14"/>
      <c r="G760" s="14"/>
      <c r="H760" s="14"/>
      <c r="I760" s="14"/>
      <c r="J760" s="14"/>
      <c r="K760" s="14"/>
      <c r="L760" s="14"/>
      <c r="M760" s="14"/>
      <c r="N760" s="14"/>
      <c r="O760" s="14"/>
      <c r="P760" s="14"/>
      <c r="Q760" s="14"/>
      <c r="R760" s="23"/>
      <c r="S760" s="24"/>
      <c r="T760" s="25"/>
      <c r="U760" s="14"/>
      <c r="V760" s="14"/>
      <c r="W760" s="24"/>
      <c r="X760" s="14"/>
    </row>
    <row r="761">
      <c r="A761" s="14"/>
      <c r="B761" s="22"/>
      <c r="C761" s="14"/>
      <c r="D761" s="14"/>
      <c r="E761" s="14"/>
      <c r="F761" s="14"/>
      <c r="G761" s="14"/>
      <c r="H761" s="14"/>
      <c r="I761" s="14"/>
      <c r="J761" s="14"/>
      <c r="K761" s="14"/>
      <c r="L761" s="14"/>
      <c r="M761" s="14"/>
      <c r="N761" s="14"/>
      <c r="O761" s="14"/>
      <c r="P761" s="14"/>
      <c r="Q761" s="14"/>
      <c r="R761" s="23"/>
      <c r="S761" s="24"/>
      <c r="T761" s="25"/>
      <c r="U761" s="14"/>
      <c r="V761" s="14"/>
      <c r="W761" s="24"/>
      <c r="X761" s="14"/>
    </row>
    <row r="762">
      <c r="A762" s="14"/>
      <c r="B762" s="22"/>
      <c r="C762" s="14"/>
      <c r="D762" s="14"/>
      <c r="E762" s="14"/>
      <c r="F762" s="14"/>
      <c r="G762" s="14"/>
      <c r="H762" s="14"/>
      <c r="I762" s="14"/>
      <c r="J762" s="14"/>
      <c r="K762" s="14"/>
      <c r="L762" s="14"/>
      <c r="M762" s="14"/>
      <c r="N762" s="14"/>
      <c r="O762" s="14"/>
      <c r="P762" s="14"/>
      <c r="Q762" s="14"/>
      <c r="R762" s="23"/>
      <c r="S762" s="24"/>
      <c r="T762" s="25"/>
      <c r="U762" s="14"/>
      <c r="V762" s="14"/>
      <c r="W762" s="24"/>
      <c r="X762" s="14"/>
    </row>
    <row r="763">
      <c r="A763" s="14"/>
      <c r="B763" s="22"/>
      <c r="C763" s="14"/>
      <c r="D763" s="14"/>
      <c r="E763" s="14"/>
      <c r="F763" s="14"/>
      <c r="G763" s="14"/>
      <c r="H763" s="14"/>
      <c r="I763" s="14"/>
      <c r="J763" s="14"/>
      <c r="K763" s="14"/>
      <c r="L763" s="14"/>
      <c r="M763" s="14"/>
      <c r="N763" s="14"/>
      <c r="O763" s="14"/>
      <c r="P763" s="14"/>
      <c r="Q763" s="14"/>
      <c r="R763" s="23"/>
      <c r="S763" s="24"/>
      <c r="T763" s="25"/>
      <c r="U763" s="14"/>
      <c r="V763" s="14"/>
      <c r="W763" s="24"/>
      <c r="X763" s="14"/>
    </row>
    <row r="764">
      <c r="A764" s="14"/>
      <c r="B764" s="22"/>
      <c r="C764" s="14"/>
      <c r="D764" s="14"/>
      <c r="E764" s="14"/>
      <c r="F764" s="14"/>
      <c r="G764" s="14"/>
      <c r="H764" s="14"/>
      <c r="I764" s="14"/>
      <c r="J764" s="14"/>
      <c r="K764" s="14"/>
      <c r="L764" s="14"/>
      <c r="M764" s="14"/>
      <c r="N764" s="14"/>
      <c r="O764" s="14"/>
      <c r="P764" s="14"/>
      <c r="Q764" s="14"/>
      <c r="R764" s="23"/>
      <c r="S764" s="24"/>
      <c r="T764" s="25"/>
      <c r="U764" s="14"/>
      <c r="V764" s="14"/>
      <c r="W764" s="24"/>
      <c r="X764" s="14"/>
    </row>
    <row r="765">
      <c r="A765" s="14"/>
      <c r="B765" s="22"/>
      <c r="C765" s="14"/>
      <c r="D765" s="14"/>
      <c r="E765" s="14"/>
      <c r="F765" s="14"/>
      <c r="G765" s="14"/>
      <c r="H765" s="14"/>
      <c r="I765" s="14"/>
      <c r="J765" s="14"/>
      <c r="K765" s="14"/>
      <c r="L765" s="14"/>
      <c r="M765" s="14"/>
      <c r="N765" s="14"/>
      <c r="O765" s="14"/>
      <c r="P765" s="14"/>
      <c r="Q765" s="14"/>
      <c r="R765" s="23"/>
      <c r="S765" s="24"/>
      <c r="T765" s="25"/>
      <c r="U765" s="14"/>
      <c r="V765" s="14"/>
      <c r="W765" s="24"/>
      <c r="X765" s="14"/>
    </row>
    <row r="766">
      <c r="A766" s="14"/>
      <c r="B766" s="22"/>
      <c r="C766" s="14"/>
      <c r="D766" s="14"/>
      <c r="E766" s="14"/>
      <c r="F766" s="14"/>
      <c r="G766" s="14"/>
      <c r="H766" s="14"/>
      <c r="I766" s="14"/>
      <c r="J766" s="14"/>
      <c r="K766" s="14"/>
      <c r="L766" s="14"/>
      <c r="M766" s="14"/>
      <c r="N766" s="14"/>
      <c r="O766" s="14"/>
      <c r="P766" s="14"/>
      <c r="Q766" s="14"/>
      <c r="R766" s="23"/>
      <c r="S766" s="24"/>
      <c r="T766" s="25"/>
      <c r="U766" s="14"/>
      <c r="V766" s="14"/>
      <c r="W766" s="24"/>
      <c r="X766" s="14"/>
    </row>
    <row r="767">
      <c r="A767" s="14"/>
      <c r="B767" s="22"/>
      <c r="C767" s="14"/>
      <c r="D767" s="14"/>
      <c r="E767" s="14"/>
      <c r="F767" s="14"/>
      <c r="G767" s="14"/>
      <c r="H767" s="14"/>
      <c r="I767" s="14"/>
      <c r="J767" s="14"/>
      <c r="K767" s="14"/>
      <c r="L767" s="14"/>
      <c r="M767" s="14"/>
      <c r="N767" s="14"/>
      <c r="O767" s="14"/>
      <c r="P767" s="14"/>
      <c r="Q767" s="14"/>
      <c r="R767" s="23"/>
      <c r="S767" s="24"/>
      <c r="T767" s="25"/>
      <c r="U767" s="14"/>
      <c r="V767" s="14"/>
      <c r="W767" s="24"/>
      <c r="X767" s="14"/>
    </row>
    <row r="768">
      <c r="A768" s="14"/>
      <c r="B768" s="22"/>
      <c r="C768" s="14"/>
      <c r="D768" s="14"/>
      <c r="E768" s="14"/>
      <c r="F768" s="14"/>
      <c r="G768" s="14"/>
      <c r="H768" s="14"/>
      <c r="I768" s="14"/>
      <c r="J768" s="14"/>
      <c r="K768" s="14"/>
      <c r="L768" s="14"/>
      <c r="M768" s="14"/>
      <c r="N768" s="14"/>
      <c r="O768" s="14"/>
      <c r="P768" s="14"/>
      <c r="Q768" s="14"/>
      <c r="R768" s="23"/>
      <c r="S768" s="24"/>
      <c r="T768" s="25"/>
      <c r="U768" s="14"/>
      <c r="V768" s="14"/>
      <c r="W768" s="24"/>
      <c r="X768" s="14"/>
    </row>
    <row r="769">
      <c r="A769" s="14"/>
      <c r="B769" s="22"/>
      <c r="C769" s="14"/>
      <c r="D769" s="14"/>
      <c r="E769" s="14"/>
      <c r="F769" s="14"/>
      <c r="G769" s="14"/>
      <c r="H769" s="14"/>
      <c r="I769" s="14"/>
      <c r="J769" s="14"/>
      <c r="K769" s="14"/>
      <c r="L769" s="14"/>
      <c r="M769" s="14"/>
      <c r="N769" s="14"/>
      <c r="O769" s="14"/>
      <c r="P769" s="14"/>
      <c r="Q769" s="14"/>
      <c r="R769" s="23"/>
      <c r="S769" s="24"/>
      <c r="T769" s="25"/>
      <c r="U769" s="14"/>
      <c r="V769" s="14"/>
      <c r="W769" s="24"/>
      <c r="X769" s="14"/>
    </row>
    <row r="770">
      <c r="A770" s="14"/>
      <c r="B770" s="22"/>
      <c r="C770" s="14"/>
      <c r="D770" s="14"/>
      <c r="E770" s="14"/>
      <c r="F770" s="14"/>
      <c r="G770" s="14"/>
      <c r="H770" s="14"/>
      <c r="I770" s="14"/>
      <c r="J770" s="14"/>
      <c r="K770" s="14"/>
      <c r="L770" s="14"/>
      <c r="M770" s="14"/>
      <c r="N770" s="14"/>
      <c r="O770" s="14"/>
      <c r="P770" s="14"/>
      <c r="Q770" s="14"/>
      <c r="R770" s="23"/>
      <c r="S770" s="24"/>
      <c r="T770" s="25"/>
      <c r="U770" s="14"/>
      <c r="V770" s="14"/>
      <c r="W770" s="24"/>
      <c r="X770" s="14"/>
    </row>
    <row r="771">
      <c r="A771" s="14"/>
      <c r="B771" s="22"/>
      <c r="C771" s="14"/>
      <c r="D771" s="14"/>
      <c r="E771" s="14"/>
      <c r="F771" s="14"/>
      <c r="G771" s="14"/>
      <c r="H771" s="14"/>
      <c r="I771" s="14"/>
      <c r="J771" s="14"/>
      <c r="K771" s="14"/>
      <c r="L771" s="14"/>
      <c r="M771" s="14"/>
      <c r="N771" s="14"/>
      <c r="O771" s="14"/>
      <c r="P771" s="14"/>
      <c r="Q771" s="14"/>
      <c r="R771" s="23"/>
      <c r="S771" s="24"/>
      <c r="T771" s="25"/>
      <c r="U771" s="14"/>
      <c r="V771" s="14"/>
      <c r="W771" s="24"/>
      <c r="X771" s="14"/>
    </row>
    <row r="772">
      <c r="A772" s="14"/>
      <c r="B772" s="22"/>
      <c r="C772" s="14"/>
      <c r="D772" s="14"/>
      <c r="E772" s="14"/>
      <c r="F772" s="14"/>
      <c r="G772" s="14"/>
      <c r="H772" s="14"/>
      <c r="I772" s="14"/>
      <c r="J772" s="14"/>
      <c r="K772" s="14"/>
      <c r="L772" s="14"/>
      <c r="M772" s="14"/>
      <c r="N772" s="14"/>
      <c r="O772" s="14"/>
      <c r="P772" s="14"/>
      <c r="Q772" s="14"/>
      <c r="R772" s="23"/>
      <c r="S772" s="24"/>
      <c r="T772" s="25"/>
      <c r="U772" s="14"/>
      <c r="V772" s="14"/>
      <c r="W772" s="24"/>
      <c r="X772" s="14"/>
    </row>
    <row r="773">
      <c r="A773" s="14"/>
      <c r="B773" s="22"/>
      <c r="C773" s="14"/>
      <c r="D773" s="14"/>
      <c r="E773" s="14"/>
      <c r="F773" s="14"/>
      <c r="G773" s="14"/>
      <c r="H773" s="14"/>
      <c r="I773" s="14"/>
      <c r="J773" s="14"/>
      <c r="K773" s="14"/>
      <c r="L773" s="14"/>
      <c r="M773" s="14"/>
      <c r="N773" s="14"/>
      <c r="O773" s="14"/>
      <c r="P773" s="14"/>
      <c r="Q773" s="14"/>
      <c r="R773" s="23"/>
      <c r="S773" s="24"/>
      <c r="T773" s="25"/>
      <c r="U773" s="14"/>
      <c r="V773" s="14"/>
      <c r="W773" s="24"/>
      <c r="X773" s="14"/>
    </row>
    <row r="774">
      <c r="A774" s="14"/>
      <c r="B774" s="22"/>
      <c r="C774" s="14"/>
      <c r="D774" s="14"/>
      <c r="E774" s="14"/>
      <c r="F774" s="14"/>
      <c r="G774" s="14"/>
      <c r="H774" s="14"/>
      <c r="I774" s="14"/>
      <c r="J774" s="14"/>
      <c r="K774" s="14"/>
      <c r="L774" s="14"/>
      <c r="M774" s="14"/>
      <c r="N774" s="14"/>
      <c r="O774" s="14"/>
      <c r="P774" s="14"/>
      <c r="Q774" s="14"/>
      <c r="R774" s="23"/>
      <c r="S774" s="24"/>
      <c r="T774" s="25"/>
      <c r="U774" s="14"/>
      <c r="V774" s="14"/>
      <c r="W774" s="24"/>
      <c r="X774" s="14"/>
    </row>
    <row r="775">
      <c r="A775" s="14"/>
      <c r="B775" s="22"/>
      <c r="C775" s="14"/>
      <c r="D775" s="14"/>
      <c r="E775" s="14"/>
      <c r="F775" s="14"/>
      <c r="G775" s="14"/>
      <c r="H775" s="14"/>
      <c r="I775" s="14"/>
      <c r="J775" s="14"/>
      <c r="K775" s="14"/>
      <c r="L775" s="14"/>
      <c r="M775" s="14"/>
      <c r="N775" s="14"/>
      <c r="O775" s="14"/>
      <c r="P775" s="14"/>
      <c r="Q775" s="14"/>
      <c r="R775" s="23"/>
      <c r="S775" s="24"/>
      <c r="T775" s="25"/>
      <c r="U775" s="14"/>
      <c r="V775" s="14"/>
      <c r="W775" s="24"/>
      <c r="X775" s="14"/>
    </row>
    <row r="776">
      <c r="A776" s="14"/>
      <c r="B776" s="22"/>
      <c r="C776" s="14"/>
      <c r="D776" s="14"/>
      <c r="E776" s="14"/>
      <c r="F776" s="14"/>
      <c r="G776" s="14"/>
      <c r="H776" s="14"/>
      <c r="I776" s="14"/>
      <c r="J776" s="14"/>
      <c r="K776" s="14"/>
      <c r="L776" s="14"/>
      <c r="M776" s="14"/>
      <c r="N776" s="14"/>
      <c r="O776" s="14"/>
      <c r="P776" s="14"/>
      <c r="Q776" s="14"/>
      <c r="R776" s="23"/>
      <c r="S776" s="24"/>
      <c r="T776" s="25"/>
      <c r="U776" s="14"/>
      <c r="V776" s="14"/>
      <c r="W776" s="24"/>
      <c r="X776" s="14"/>
    </row>
    <row r="777">
      <c r="A777" s="14"/>
      <c r="B777" s="22"/>
      <c r="C777" s="14"/>
      <c r="D777" s="14"/>
      <c r="E777" s="14"/>
      <c r="F777" s="14"/>
      <c r="G777" s="14"/>
      <c r="H777" s="14"/>
      <c r="I777" s="14"/>
      <c r="J777" s="14"/>
      <c r="K777" s="14"/>
      <c r="L777" s="14"/>
      <c r="M777" s="14"/>
      <c r="N777" s="14"/>
      <c r="O777" s="14"/>
      <c r="P777" s="14"/>
      <c r="Q777" s="14"/>
      <c r="R777" s="23"/>
      <c r="S777" s="24"/>
      <c r="T777" s="25"/>
      <c r="U777" s="14"/>
      <c r="V777" s="14"/>
      <c r="W777" s="24"/>
      <c r="X777" s="14"/>
    </row>
    <row r="778">
      <c r="A778" s="14"/>
      <c r="B778" s="22"/>
      <c r="C778" s="14"/>
      <c r="D778" s="14"/>
      <c r="E778" s="14"/>
      <c r="F778" s="14"/>
      <c r="G778" s="14"/>
      <c r="H778" s="14"/>
      <c r="I778" s="14"/>
      <c r="J778" s="14"/>
      <c r="K778" s="14"/>
      <c r="L778" s="14"/>
      <c r="M778" s="14"/>
      <c r="N778" s="14"/>
      <c r="O778" s="14"/>
      <c r="P778" s="14"/>
      <c r="Q778" s="14"/>
      <c r="R778" s="23"/>
      <c r="S778" s="24"/>
      <c r="T778" s="25"/>
      <c r="U778" s="14"/>
      <c r="V778" s="14"/>
      <c r="W778" s="24"/>
      <c r="X778" s="14"/>
    </row>
    <row r="779">
      <c r="A779" s="14"/>
      <c r="B779" s="22"/>
      <c r="C779" s="14"/>
      <c r="D779" s="14"/>
      <c r="E779" s="14"/>
      <c r="F779" s="14"/>
      <c r="G779" s="14"/>
      <c r="H779" s="14"/>
      <c r="I779" s="14"/>
      <c r="J779" s="14"/>
      <c r="K779" s="14"/>
      <c r="L779" s="14"/>
      <c r="M779" s="14"/>
      <c r="N779" s="14"/>
      <c r="O779" s="14"/>
      <c r="P779" s="14"/>
      <c r="Q779" s="14"/>
      <c r="R779" s="23"/>
      <c r="S779" s="24"/>
      <c r="T779" s="25"/>
      <c r="U779" s="14"/>
      <c r="V779" s="14"/>
      <c r="W779" s="24"/>
      <c r="X779" s="14"/>
    </row>
    <row r="780">
      <c r="A780" s="14"/>
      <c r="B780" s="22"/>
      <c r="C780" s="14"/>
      <c r="D780" s="14"/>
      <c r="E780" s="14"/>
      <c r="F780" s="14"/>
      <c r="G780" s="14"/>
      <c r="H780" s="14"/>
      <c r="I780" s="14"/>
      <c r="J780" s="14"/>
      <c r="K780" s="14"/>
      <c r="L780" s="14"/>
      <c r="M780" s="14"/>
      <c r="N780" s="14"/>
      <c r="O780" s="14"/>
      <c r="P780" s="14"/>
      <c r="Q780" s="14"/>
      <c r="R780" s="23"/>
      <c r="S780" s="24"/>
      <c r="T780" s="25"/>
      <c r="U780" s="14"/>
      <c r="V780" s="14"/>
      <c r="W780" s="24"/>
      <c r="X780" s="14"/>
    </row>
    <row r="781">
      <c r="A781" s="14"/>
      <c r="B781" s="22"/>
      <c r="C781" s="14"/>
      <c r="D781" s="14"/>
      <c r="E781" s="14"/>
      <c r="F781" s="14"/>
      <c r="G781" s="14"/>
      <c r="H781" s="14"/>
      <c r="I781" s="14"/>
      <c r="J781" s="14"/>
      <c r="K781" s="14"/>
      <c r="L781" s="14"/>
      <c r="M781" s="14"/>
      <c r="N781" s="14"/>
      <c r="O781" s="14"/>
      <c r="P781" s="14"/>
      <c r="Q781" s="14"/>
      <c r="R781" s="23"/>
      <c r="S781" s="24"/>
      <c r="T781" s="25"/>
      <c r="U781" s="14"/>
      <c r="V781" s="14"/>
      <c r="W781" s="24"/>
      <c r="X781" s="14"/>
    </row>
    <row r="782">
      <c r="A782" s="14"/>
      <c r="B782" s="22"/>
      <c r="C782" s="14"/>
      <c r="D782" s="14"/>
      <c r="E782" s="14"/>
      <c r="F782" s="14"/>
      <c r="G782" s="14"/>
      <c r="H782" s="14"/>
      <c r="I782" s="14"/>
      <c r="J782" s="14"/>
      <c r="K782" s="14"/>
      <c r="L782" s="14"/>
      <c r="M782" s="14"/>
      <c r="N782" s="14"/>
      <c r="O782" s="14"/>
      <c r="P782" s="14"/>
      <c r="Q782" s="14"/>
      <c r="R782" s="23"/>
      <c r="S782" s="24"/>
      <c r="T782" s="25"/>
      <c r="U782" s="14"/>
      <c r="V782" s="14"/>
      <c r="W782" s="24"/>
      <c r="X782" s="14"/>
    </row>
    <row r="783">
      <c r="A783" s="14"/>
      <c r="B783" s="22"/>
      <c r="C783" s="14"/>
      <c r="D783" s="14"/>
      <c r="E783" s="14"/>
      <c r="F783" s="14"/>
      <c r="G783" s="14"/>
      <c r="H783" s="14"/>
      <c r="I783" s="14"/>
      <c r="J783" s="14"/>
      <c r="K783" s="14"/>
      <c r="L783" s="14"/>
      <c r="M783" s="14"/>
      <c r="N783" s="14"/>
      <c r="O783" s="14"/>
      <c r="P783" s="14"/>
      <c r="Q783" s="14"/>
      <c r="R783" s="23"/>
      <c r="S783" s="24"/>
      <c r="T783" s="25"/>
      <c r="U783" s="14"/>
      <c r="V783" s="14"/>
      <c r="W783" s="24"/>
      <c r="X783" s="14"/>
    </row>
    <row r="784">
      <c r="A784" s="14"/>
      <c r="B784" s="22"/>
      <c r="C784" s="14"/>
      <c r="D784" s="14"/>
      <c r="E784" s="14"/>
      <c r="F784" s="14"/>
      <c r="G784" s="14"/>
      <c r="H784" s="14"/>
      <c r="I784" s="14"/>
      <c r="J784" s="14"/>
      <c r="K784" s="14"/>
      <c r="L784" s="14"/>
      <c r="M784" s="14"/>
      <c r="N784" s="14"/>
      <c r="O784" s="14"/>
      <c r="P784" s="14"/>
      <c r="Q784" s="14"/>
      <c r="R784" s="23"/>
      <c r="S784" s="24"/>
      <c r="T784" s="25"/>
      <c r="U784" s="14"/>
      <c r="V784" s="14"/>
      <c r="W784" s="24"/>
      <c r="X784" s="14"/>
    </row>
    <row r="785">
      <c r="A785" s="14"/>
      <c r="B785" s="22"/>
      <c r="C785" s="14"/>
      <c r="D785" s="14"/>
      <c r="E785" s="14"/>
      <c r="F785" s="14"/>
      <c r="G785" s="14"/>
      <c r="H785" s="14"/>
      <c r="I785" s="14"/>
      <c r="J785" s="14"/>
      <c r="K785" s="14"/>
      <c r="L785" s="14"/>
      <c r="M785" s="14"/>
      <c r="N785" s="14"/>
      <c r="O785" s="14"/>
      <c r="P785" s="14"/>
      <c r="Q785" s="14"/>
      <c r="R785" s="23"/>
      <c r="S785" s="24"/>
      <c r="T785" s="25"/>
      <c r="U785" s="14"/>
      <c r="V785" s="14"/>
      <c r="W785" s="24"/>
      <c r="X785" s="14"/>
    </row>
    <row r="786">
      <c r="A786" s="14"/>
      <c r="B786" s="22"/>
      <c r="C786" s="14"/>
      <c r="D786" s="14"/>
      <c r="E786" s="14"/>
      <c r="F786" s="14"/>
      <c r="G786" s="14"/>
      <c r="H786" s="14"/>
      <c r="I786" s="14"/>
      <c r="J786" s="14"/>
      <c r="K786" s="14"/>
      <c r="L786" s="14"/>
      <c r="M786" s="14"/>
      <c r="N786" s="14"/>
      <c r="O786" s="14"/>
      <c r="P786" s="14"/>
      <c r="Q786" s="14"/>
      <c r="R786" s="23"/>
      <c r="S786" s="24"/>
      <c r="T786" s="25"/>
      <c r="U786" s="14"/>
      <c r="V786" s="14"/>
      <c r="W786" s="24"/>
      <c r="X786" s="14"/>
    </row>
    <row r="787">
      <c r="A787" s="14"/>
      <c r="B787" s="22"/>
      <c r="C787" s="14"/>
      <c r="D787" s="14"/>
      <c r="E787" s="14"/>
      <c r="F787" s="14"/>
      <c r="G787" s="14"/>
      <c r="H787" s="14"/>
      <c r="I787" s="14"/>
      <c r="J787" s="14"/>
      <c r="K787" s="14"/>
      <c r="L787" s="14"/>
      <c r="M787" s="14"/>
      <c r="N787" s="14"/>
      <c r="O787" s="14"/>
      <c r="P787" s="14"/>
      <c r="Q787" s="14"/>
      <c r="R787" s="23"/>
      <c r="S787" s="24"/>
      <c r="T787" s="25"/>
      <c r="U787" s="14"/>
      <c r="V787" s="14"/>
      <c r="W787" s="24"/>
      <c r="X787" s="14"/>
    </row>
    <row r="788">
      <c r="A788" s="14"/>
      <c r="B788" s="22"/>
      <c r="C788" s="14"/>
      <c r="D788" s="14"/>
      <c r="E788" s="14"/>
      <c r="F788" s="14"/>
      <c r="G788" s="14"/>
      <c r="H788" s="14"/>
      <c r="I788" s="14"/>
      <c r="J788" s="14"/>
      <c r="K788" s="14"/>
      <c r="L788" s="14"/>
      <c r="M788" s="14"/>
      <c r="N788" s="14"/>
      <c r="O788" s="14"/>
      <c r="P788" s="14"/>
      <c r="Q788" s="14"/>
      <c r="R788" s="23"/>
      <c r="S788" s="24"/>
      <c r="T788" s="25"/>
      <c r="U788" s="14"/>
      <c r="V788" s="14"/>
      <c r="W788" s="24"/>
      <c r="X788" s="14"/>
    </row>
    <row r="789">
      <c r="A789" s="14"/>
      <c r="B789" s="22"/>
      <c r="C789" s="14"/>
      <c r="D789" s="14"/>
      <c r="E789" s="14"/>
      <c r="F789" s="14"/>
      <c r="G789" s="14"/>
      <c r="H789" s="14"/>
      <c r="I789" s="14"/>
      <c r="J789" s="14"/>
      <c r="K789" s="14"/>
      <c r="L789" s="14"/>
      <c r="M789" s="14"/>
      <c r="N789" s="14"/>
      <c r="O789" s="14"/>
      <c r="P789" s="14"/>
      <c r="Q789" s="14"/>
      <c r="R789" s="23"/>
      <c r="S789" s="24"/>
      <c r="T789" s="25"/>
      <c r="U789" s="14"/>
      <c r="V789" s="14"/>
      <c r="W789" s="24"/>
      <c r="X789" s="14"/>
    </row>
    <row r="790">
      <c r="A790" s="14"/>
      <c r="B790" s="22"/>
      <c r="C790" s="14"/>
      <c r="D790" s="14"/>
      <c r="E790" s="14"/>
      <c r="F790" s="14"/>
      <c r="G790" s="14"/>
      <c r="H790" s="14"/>
      <c r="I790" s="14"/>
      <c r="J790" s="14"/>
      <c r="K790" s="14"/>
      <c r="L790" s="14"/>
      <c r="M790" s="14"/>
      <c r="N790" s="14"/>
      <c r="O790" s="14"/>
      <c r="P790" s="14"/>
      <c r="Q790" s="14"/>
      <c r="R790" s="23"/>
      <c r="S790" s="24"/>
      <c r="T790" s="25"/>
      <c r="U790" s="14"/>
      <c r="V790" s="14"/>
      <c r="W790" s="24"/>
      <c r="X790" s="14"/>
    </row>
    <row r="791">
      <c r="A791" s="14"/>
      <c r="B791" s="22"/>
      <c r="C791" s="14"/>
      <c r="D791" s="14"/>
      <c r="E791" s="14"/>
      <c r="F791" s="14"/>
      <c r="G791" s="14"/>
      <c r="H791" s="14"/>
      <c r="I791" s="14"/>
      <c r="J791" s="14"/>
      <c r="K791" s="14"/>
      <c r="L791" s="14"/>
      <c r="M791" s="14"/>
      <c r="N791" s="14"/>
      <c r="O791" s="14"/>
      <c r="P791" s="14"/>
      <c r="Q791" s="14"/>
      <c r="R791" s="23"/>
      <c r="S791" s="24"/>
      <c r="T791" s="25"/>
      <c r="U791" s="14"/>
      <c r="V791" s="14"/>
      <c r="W791" s="24"/>
      <c r="X791" s="14"/>
    </row>
    <row r="792">
      <c r="A792" s="14"/>
      <c r="B792" s="22"/>
      <c r="C792" s="14"/>
      <c r="D792" s="14"/>
      <c r="E792" s="14"/>
      <c r="F792" s="14"/>
      <c r="G792" s="14"/>
      <c r="H792" s="14"/>
      <c r="I792" s="14"/>
      <c r="J792" s="14"/>
      <c r="K792" s="14"/>
      <c r="L792" s="14"/>
      <c r="M792" s="14"/>
      <c r="N792" s="14"/>
      <c r="O792" s="14"/>
      <c r="P792" s="14"/>
      <c r="Q792" s="14"/>
      <c r="R792" s="23"/>
      <c r="S792" s="24"/>
      <c r="T792" s="25"/>
      <c r="U792" s="14"/>
      <c r="V792" s="14"/>
      <c r="W792" s="24"/>
      <c r="X792" s="14"/>
    </row>
    <row r="793">
      <c r="A793" s="14"/>
      <c r="B793" s="22"/>
      <c r="C793" s="14"/>
      <c r="D793" s="14"/>
      <c r="E793" s="14"/>
      <c r="F793" s="14"/>
      <c r="G793" s="14"/>
      <c r="H793" s="14"/>
      <c r="I793" s="14"/>
      <c r="J793" s="14"/>
      <c r="K793" s="14"/>
      <c r="L793" s="14"/>
      <c r="M793" s="14"/>
      <c r="N793" s="14"/>
      <c r="O793" s="14"/>
      <c r="P793" s="14"/>
      <c r="Q793" s="14"/>
      <c r="R793" s="23"/>
      <c r="S793" s="24"/>
      <c r="T793" s="25"/>
      <c r="U793" s="14"/>
      <c r="V793" s="14"/>
      <c r="W793" s="24"/>
      <c r="X793" s="14"/>
    </row>
    <row r="794">
      <c r="A794" s="14"/>
      <c r="B794" s="22"/>
      <c r="C794" s="14"/>
      <c r="D794" s="14"/>
      <c r="E794" s="14"/>
      <c r="F794" s="14"/>
      <c r="G794" s="14"/>
      <c r="H794" s="14"/>
      <c r="I794" s="14"/>
      <c r="J794" s="14"/>
      <c r="K794" s="14"/>
      <c r="L794" s="14"/>
      <c r="M794" s="14"/>
      <c r="N794" s="14"/>
      <c r="O794" s="14"/>
      <c r="P794" s="14"/>
      <c r="Q794" s="14"/>
      <c r="R794" s="23"/>
      <c r="S794" s="24"/>
      <c r="T794" s="25"/>
      <c r="U794" s="14"/>
      <c r="V794" s="14"/>
      <c r="W794" s="24"/>
      <c r="X794" s="14"/>
    </row>
    <row r="795">
      <c r="A795" s="14"/>
      <c r="B795" s="22"/>
      <c r="C795" s="14"/>
      <c r="D795" s="14"/>
      <c r="E795" s="14"/>
      <c r="F795" s="14"/>
      <c r="G795" s="14"/>
      <c r="H795" s="14"/>
      <c r="I795" s="14"/>
      <c r="J795" s="14"/>
      <c r="K795" s="14"/>
      <c r="L795" s="14"/>
      <c r="M795" s="14"/>
      <c r="N795" s="14"/>
      <c r="O795" s="14"/>
      <c r="P795" s="14"/>
      <c r="Q795" s="14"/>
      <c r="R795" s="23"/>
      <c r="S795" s="24"/>
      <c r="T795" s="25"/>
      <c r="U795" s="14"/>
      <c r="V795" s="14"/>
      <c r="W795" s="24"/>
      <c r="X795" s="14"/>
    </row>
    <row r="796">
      <c r="A796" s="14"/>
      <c r="B796" s="22"/>
      <c r="C796" s="14"/>
      <c r="D796" s="14"/>
      <c r="E796" s="14"/>
      <c r="F796" s="14"/>
      <c r="G796" s="14"/>
      <c r="H796" s="14"/>
      <c r="I796" s="14"/>
      <c r="J796" s="14"/>
      <c r="K796" s="14"/>
      <c r="L796" s="14"/>
      <c r="M796" s="14"/>
      <c r="N796" s="14"/>
      <c r="O796" s="14"/>
      <c r="P796" s="14"/>
      <c r="Q796" s="14"/>
      <c r="R796" s="23"/>
      <c r="S796" s="24"/>
      <c r="T796" s="25"/>
      <c r="U796" s="14"/>
      <c r="V796" s="14"/>
      <c r="W796" s="24"/>
      <c r="X796" s="14"/>
    </row>
    <row r="797">
      <c r="A797" s="14"/>
      <c r="B797" s="22"/>
      <c r="C797" s="14"/>
      <c r="D797" s="14"/>
      <c r="E797" s="14"/>
      <c r="F797" s="14"/>
      <c r="G797" s="14"/>
      <c r="H797" s="14"/>
      <c r="I797" s="14"/>
      <c r="J797" s="14"/>
      <c r="K797" s="14"/>
      <c r="L797" s="14"/>
      <c r="M797" s="14"/>
      <c r="N797" s="14"/>
      <c r="O797" s="14"/>
      <c r="P797" s="14"/>
      <c r="Q797" s="14"/>
      <c r="R797" s="23"/>
      <c r="S797" s="24"/>
      <c r="T797" s="25"/>
      <c r="U797" s="14"/>
      <c r="V797" s="14"/>
      <c r="W797" s="24"/>
      <c r="X797" s="14"/>
    </row>
    <row r="798">
      <c r="A798" s="14"/>
      <c r="B798" s="22"/>
      <c r="C798" s="14"/>
      <c r="D798" s="14"/>
      <c r="E798" s="14"/>
      <c r="F798" s="14"/>
      <c r="G798" s="14"/>
      <c r="H798" s="14"/>
      <c r="I798" s="14"/>
      <c r="J798" s="14"/>
      <c r="K798" s="14"/>
      <c r="L798" s="14"/>
      <c r="M798" s="14"/>
      <c r="N798" s="14"/>
      <c r="O798" s="14"/>
      <c r="P798" s="14"/>
      <c r="Q798" s="14"/>
      <c r="R798" s="23"/>
      <c r="S798" s="24"/>
      <c r="T798" s="25"/>
      <c r="U798" s="14"/>
      <c r="V798" s="14"/>
      <c r="W798" s="24"/>
      <c r="X798" s="14"/>
    </row>
    <row r="799">
      <c r="A799" s="14"/>
      <c r="B799" s="22"/>
      <c r="C799" s="14"/>
      <c r="D799" s="14"/>
      <c r="E799" s="14"/>
      <c r="F799" s="14"/>
      <c r="G799" s="14"/>
      <c r="H799" s="14"/>
      <c r="I799" s="14"/>
      <c r="J799" s="14"/>
      <c r="K799" s="14"/>
      <c r="L799" s="14"/>
      <c r="M799" s="14"/>
      <c r="N799" s="14"/>
      <c r="O799" s="14"/>
      <c r="P799" s="14"/>
      <c r="Q799" s="14"/>
      <c r="R799" s="23"/>
      <c r="S799" s="24"/>
      <c r="T799" s="25"/>
      <c r="U799" s="14"/>
      <c r="V799" s="14"/>
      <c r="W799" s="24"/>
      <c r="X799" s="14"/>
    </row>
    <row r="800">
      <c r="A800" s="14"/>
      <c r="B800" s="22"/>
      <c r="C800" s="14"/>
      <c r="D800" s="14"/>
      <c r="E800" s="14"/>
      <c r="F800" s="14"/>
      <c r="G800" s="14"/>
      <c r="H800" s="14"/>
      <c r="I800" s="14"/>
      <c r="J800" s="14"/>
      <c r="K800" s="14"/>
      <c r="L800" s="14"/>
      <c r="M800" s="14"/>
      <c r="N800" s="14"/>
      <c r="O800" s="14"/>
      <c r="P800" s="14"/>
      <c r="Q800" s="14"/>
      <c r="R800" s="23"/>
      <c r="S800" s="24"/>
      <c r="T800" s="25"/>
      <c r="U800" s="14"/>
      <c r="V800" s="14"/>
      <c r="W800" s="24"/>
      <c r="X800" s="14"/>
    </row>
    <row r="801">
      <c r="A801" s="14"/>
      <c r="B801" s="22"/>
      <c r="C801" s="14"/>
      <c r="D801" s="14"/>
      <c r="E801" s="14"/>
      <c r="F801" s="14"/>
      <c r="G801" s="14"/>
      <c r="H801" s="14"/>
      <c r="I801" s="14"/>
      <c r="J801" s="14"/>
      <c r="K801" s="14"/>
      <c r="L801" s="14"/>
      <c r="M801" s="14"/>
      <c r="N801" s="14"/>
      <c r="O801" s="14"/>
      <c r="P801" s="14"/>
      <c r="Q801" s="14"/>
      <c r="R801" s="23"/>
      <c r="S801" s="24"/>
      <c r="T801" s="25"/>
      <c r="U801" s="14"/>
      <c r="V801" s="14"/>
      <c r="W801" s="24"/>
      <c r="X801" s="14"/>
    </row>
    <row r="802">
      <c r="A802" s="14"/>
      <c r="B802" s="22"/>
      <c r="C802" s="14"/>
      <c r="D802" s="14"/>
      <c r="E802" s="14"/>
      <c r="F802" s="14"/>
      <c r="G802" s="14"/>
      <c r="H802" s="14"/>
      <c r="I802" s="14"/>
      <c r="J802" s="14"/>
      <c r="K802" s="14"/>
      <c r="L802" s="14"/>
      <c r="M802" s="14"/>
      <c r="N802" s="14"/>
      <c r="O802" s="14"/>
      <c r="P802" s="14"/>
      <c r="Q802" s="14"/>
      <c r="R802" s="23"/>
      <c r="S802" s="24"/>
      <c r="T802" s="25"/>
      <c r="U802" s="14"/>
      <c r="V802" s="14"/>
      <c r="W802" s="24"/>
      <c r="X802" s="14"/>
    </row>
    <row r="803">
      <c r="A803" s="14"/>
      <c r="B803" s="22"/>
      <c r="C803" s="14"/>
      <c r="D803" s="14"/>
      <c r="E803" s="14"/>
      <c r="F803" s="14"/>
      <c r="G803" s="14"/>
      <c r="H803" s="14"/>
      <c r="I803" s="14"/>
      <c r="J803" s="14"/>
      <c r="K803" s="14"/>
      <c r="L803" s="14"/>
      <c r="M803" s="14"/>
      <c r="N803" s="14"/>
      <c r="O803" s="14"/>
      <c r="P803" s="14"/>
      <c r="Q803" s="14"/>
      <c r="R803" s="23"/>
      <c r="S803" s="24"/>
      <c r="T803" s="25"/>
      <c r="U803" s="14"/>
      <c r="V803" s="14"/>
      <c r="W803" s="24"/>
      <c r="X803" s="14"/>
    </row>
    <row r="804">
      <c r="A804" s="14"/>
      <c r="B804" s="22"/>
      <c r="C804" s="14"/>
      <c r="D804" s="14"/>
      <c r="E804" s="14"/>
      <c r="F804" s="14"/>
      <c r="G804" s="14"/>
      <c r="H804" s="14"/>
      <c r="I804" s="14"/>
      <c r="J804" s="14"/>
      <c r="K804" s="14"/>
      <c r="L804" s="14"/>
      <c r="M804" s="14"/>
      <c r="N804" s="14"/>
      <c r="O804" s="14"/>
      <c r="P804" s="14"/>
      <c r="Q804" s="14"/>
      <c r="R804" s="23"/>
      <c r="S804" s="24"/>
      <c r="T804" s="25"/>
      <c r="U804" s="14"/>
      <c r="V804" s="14"/>
      <c r="W804" s="24"/>
      <c r="X804" s="14"/>
    </row>
    <row r="805">
      <c r="A805" s="14"/>
      <c r="B805" s="22"/>
      <c r="C805" s="14"/>
      <c r="D805" s="14"/>
      <c r="E805" s="14"/>
      <c r="F805" s="14"/>
      <c r="G805" s="14"/>
      <c r="H805" s="14"/>
      <c r="I805" s="14"/>
      <c r="J805" s="14"/>
      <c r="K805" s="14"/>
      <c r="L805" s="14"/>
      <c r="M805" s="14"/>
      <c r="N805" s="14"/>
      <c r="O805" s="14"/>
      <c r="P805" s="14"/>
      <c r="Q805" s="14"/>
      <c r="R805" s="23"/>
      <c r="S805" s="24"/>
      <c r="T805" s="25"/>
      <c r="U805" s="14"/>
      <c r="V805" s="14"/>
      <c r="W805" s="24"/>
      <c r="X805" s="14"/>
    </row>
    <row r="806">
      <c r="A806" s="14"/>
      <c r="B806" s="22"/>
      <c r="C806" s="14"/>
      <c r="D806" s="14"/>
      <c r="E806" s="14"/>
      <c r="F806" s="14"/>
      <c r="G806" s="14"/>
      <c r="H806" s="14"/>
      <c r="I806" s="14"/>
      <c r="J806" s="14"/>
      <c r="K806" s="14"/>
      <c r="L806" s="14"/>
      <c r="M806" s="14"/>
      <c r="N806" s="14"/>
      <c r="O806" s="14"/>
      <c r="P806" s="14"/>
      <c r="Q806" s="14"/>
      <c r="R806" s="23"/>
      <c r="S806" s="24"/>
      <c r="T806" s="25"/>
      <c r="U806" s="14"/>
      <c r="V806" s="14"/>
      <c r="W806" s="24"/>
      <c r="X806" s="14"/>
    </row>
    <row r="807">
      <c r="A807" s="14"/>
      <c r="B807" s="22"/>
      <c r="C807" s="14"/>
      <c r="D807" s="14"/>
      <c r="E807" s="14"/>
      <c r="F807" s="14"/>
      <c r="G807" s="14"/>
      <c r="H807" s="14"/>
      <c r="I807" s="14"/>
      <c r="J807" s="14"/>
      <c r="K807" s="14"/>
      <c r="L807" s="14"/>
      <c r="M807" s="14"/>
      <c r="N807" s="14"/>
      <c r="O807" s="14"/>
      <c r="P807" s="14"/>
      <c r="Q807" s="14"/>
      <c r="R807" s="23"/>
      <c r="S807" s="24"/>
      <c r="T807" s="25"/>
      <c r="U807" s="14"/>
      <c r="V807" s="14"/>
      <c r="W807" s="24"/>
      <c r="X807" s="14"/>
    </row>
    <row r="808">
      <c r="A808" s="14"/>
      <c r="B808" s="22"/>
      <c r="C808" s="14"/>
      <c r="D808" s="14"/>
      <c r="E808" s="14"/>
      <c r="F808" s="14"/>
      <c r="G808" s="14"/>
      <c r="H808" s="14"/>
      <c r="I808" s="14"/>
      <c r="J808" s="14"/>
      <c r="K808" s="14"/>
      <c r="L808" s="14"/>
      <c r="M808" s="14"/>
      <c r="N808" s="14"/>
      <c r="O808" s="14"/>
      <c r="P808" s="14"/>
      <c r="Q808" s="14"/>
      <c r="R808" s="23"/>
      <c r="S808" s="24"/>
      <c r="T808" s="25"/>
      <c r="U808" s="14"/>
      <c r="V808" s="14"/>
      <c r="W808" s="24"/>
      <c r="X808" s="14"/>
    </row>
    <row r="809">
      <c r="A809" s="14"/>
      <c r="B809" s="22"/>
      <c r="C809" s="14"/>
      <c r="D809" s="14"/>
      <c r="E809" s="14"/>
      <c r="F809" s="14"/>
      <c r="G809" s="14"/>
      <c r="H809" s="14"/>
      <c r="I809" s="14"/>
      <c r="J809" s="14"/>
      <c r="K809" s="14"/>
      <c r="L809" s="14"/>
      <c r="M809" s="14"/>
      <c r="N809" s="14"/>
      <c r="O809" s="14"/>
      <c r="P809" s="14"/>
      <c r="Q809" s="14"/>
      <c r="R809" s="23"/>
      <c r="S809" s="24"/>
      <c r="T809" s="25"/>
      <c r="U809" s="14"/>
      <c r="V809" s="14"/>
      <c r="W809" s="24"/>
      <c r="X809" s="14"/>
    </row>
    <row r="810">
      <c r="A810" s="14"/>
      <c r="B810" s="22"/>
      <c r="C810" s="14"/>
      <c r="D810" s="14"/>
      <c r="E810" s="14"/>
      <c r="F810" s="14"/>
      <c r="G810" s="14"/>
      <c r="H810" s="14"/>
      <c r="I810" s="14"/>
      <c r="J810" s="14"/>
      <c r="K810" s="14"/>
      <c r="L810" s="14"/>
      <c r="M810" s="14"/>
      <c r="N810" s="14"/>
      <c r="O810" s="14"/>
      <c r="P810" s="14"/>
      <c r="Q810" s="14"/>
      <c r="R810" s="23"/>
      <c r="S810" s="24"/>
      <c r="T810" s="25"/>
      <c r="U810" s="14"/>
      <c r="V810" s="14"/>
      <c r="W810" s="24"/>
      <c r="X810" s="14"/>
    </row>
    <row r="811">
      <c r="A811" s="14"/>
      <c r="B811" s="22"/>
      <c r="C811" s="14"/>
      <c r="D811" s="14"/>
      <c r="E811" s="14"/>
      <c r="F811" s="14"/>
      <c r="G811" s="14"/>
      <c r="H811" s="14"/>
      <c r="I811" s="14"/>
      <c r="J811" s="14"/>
      <c r="K811" s="14"/>
      <c r="L811" s="14"/>
      <c r="M811" s="14"/>
      <c r="N811" s="14"/>
      <c r="O811" s="14"/>
      <c r="P811" s="14"/>
      <c r="Q811" s="14"/>
      <c r="R811" s="23"/>
      <c r="S811" s="24"/>
      <c r="T811" s="25"/>
      <c r="U811" s="14"/>
      <c r="V811" s="14"/>
      <c r="W811" s="24"/>
      <c r="X811" s="14"/>
    </row>
    <row r="812">
      <c r="A812" s="14"/>
      <c r="B812" s="22"/>
      <c r="C812" s="14"/>
      <c r="D812" s="14"/>
      <c r="E812" s="14"/>
      <c r="F812" s="14"/>
      <c r="G812" s="14"/>
      <c r="H812" s="14"/>
      <c r="I812" s="14"/>
      <c r="J812" s="14"/>
      <c r="K812" s="14"/>
      <c r="L812" s="14"/>
      <c r="M812" s="14"/>
      <c r="N812" s="14"/>
      <c r="O812" s="14"/>
      <c r="P812" s="14"/>
      <c r="Q812" s="14"/>
      <c r="R812" s="23"/>
      <c r="S812" s="24"/>
      <c r="T812" s="25"/>
      <c r="U812" s="14"/>
      <c r="V812" s="14"/>
      <c r="W812" s="24"/>
      <c r="X812" s="14"/>
    </row>
    <row r="813">
      <c r="A813" s="14"/>
      <c r="B813" s="22"/>
      <c r="C813" s="14"/>
      <c r="D813" s="14"/>
      <c r="E813" s="14"/>
      <c r="F813" s="14"/>
      <c r="G813" s="14"/>
      <c r="H813" s="14"/>
      <c r="I813" s="14"/>
      <c r="J813" s="14"/>
      <c r="K813" s="14"/>
      <c r="L813" s="14"/>
      <c r="M813" s="14"/>
      <c r="N813" s="14"/>
      <c r="O813" s="14"/>
      <c r="P813" s="14"/>
      <c r="Q813" s="14"/>
      <c r="R813" s="23"/>
      <c r="S813" s="24"/>
      <c r="T813" s="25"/>
      <c r="U813" s="14"/>
      <c r="V813" s="14"/>
      <c r="W813" s="24"/>
      <c r="X813" s="14"/>
    </row>
    <row r="814">
      <c r="A814" s="14"/>
      <c r="B814" s="22"/>
      <c r="C814" s="14"/>
      <c r="D814" s="14"/>
      <c r="E814" s="14"/>
      <c r="F814" s="14"/>
      <c r="G814" s="14"/>
      <c r="H814" s="14"/>
      <c r="I814" s="14"/>
      <c r="J814" s="14"/>
      <c r="K814" s="14"/>
      <c r="L814" s="14"/>
      <c r="M814" s="14"/>
      <c r="N814" s="14"/>
      <c r="O814" s="14"/>
      <c r="P814" s="14"/>
      <c r="Q814" s="14"/>
      <c r="R814" s="23"/>
      <c r="S814" s="24"/>
      <c r="T814" s="25"/>
      <c r="U814" s="14"/>
      <c r="V814" s="14"/>
      <c r="W814" s="24"/>
      <c r="X814" s="14"/>
    </row>
    <row r="815">
      <c r="A815" s="14"/>
      <c r="B815" s="22"/>
      <c r="C815" s="14"/>
      <c r="D815" s="14"/>
      <c r="E815" s="14"/>
      <c r="F815" s="14"/>
      <c r="G815" s="14"/>
      <c r="H815" s="14"/>
      <c r="I815" s="14"/>
      <c r="J815" s="14"/>
      <c r="K815" s="14"/>
      <c r="L815" s="14"/>
      <c r="M815" s="14"/>
      <c r="N815" s="14"/>
      <c r="O815" s="14"/>
      <c r="P815" s="14"/>
      <c r="Q815" s="14"/>
      <c r="R815" s="23"/>
      <c r="S815" s="24"/>
      <c r="T815" s="25"/>
      <c r="U815" s="14"/>
      <c r="V815" s="14"/>
      <c r="W815" s="24"/>
      <c r="X815" s="14"/>
    </row>
    <row r="816">
      <c r="A816" s="14"/>
      <c r="B816" s="22"/>
      <c r="C816" s="14"/>
      <c r="D816" s="14"/>
      <c r="E816" s="14"/>
      <c r="F816" s="14"/>
      <c r="G816" s="14"/>
      <c r="H816" s="14"/>
      <c r="I816" s="14"/>
      <c r="J816" s="14"/>
      <c r="K816" s="14"/>
      <c r="L816" s="14"/>
      <c r="M816" s="14"/>
      <c r="N816" s="14"/>
      <c r="O816" s="14"/>
      <c r="P816" s="14"/>
      <c r="Q816" s="14"/>
      <c r="R816" s="23"/>
      <c r="S816" s="24"/>
      <c r="T816" s="25"/>
      <c r="U816" s="14"/>
      <c r="V816" s="14"/>
      <c r="W816" s="24"/>
      <c r="X816" s="14"/>
    </row>
    <row r="817">
      <c r="A817" s="14"/>
      <c r="B817" s="22"/>
      <c r="C817" s="14"/>
      <c r="D817" s="14"/>
      <c r="E817" s="14"/>
      <c r="F817" s="14"/>
      <c r="G817" s="14"/>
      <c r="H817" s="14"/>
      <c r="I817" s="14"/>
      <c r="J817" s="14"/>
      <c r="K817" s="14"/>
      <c r="L817" s="14"/>
      <c r="M817" s="14"/>
      <c r="N817" s="14"/>
      <c r="O817" s="14"/>
      <c r="P817" s="14"/>
      <c r="Q817" s="14"/>
      <c r="R817" s="23"/>
      <c r="S817" s="24"/>
      <c r="T817" s="25"/>
      <c r="U817" s="14"/>
      <c r="V817" s="14"/>
      <c r="W817" s="24"/>
      <c r="X817" s="14"/>
    </row>
    <row r="818">
      <c r="A818" s="14"/>
      <c r="B818" s="22"/>
      <c r="C818" s="14"/>
      <c r="D818" s="14"/>
      <c r="E818" s="14"/>
      <c r="F818" s="14"/>
      <c r="G818" s="14"/>
      <c r="H818" s="14"/>
      <c r="I818" s="14"/>
      <c r="J818" s="14"/>
      <c r="K818" s="14"/>
      <c r="L818" s="14"/>
      <c r="M818" s="14"/>
      <c r="N818" s="14"/>
      <c r="O818" s="14"/>
      <c r="P818" s="14"/>
      <c r="Q818" s="14"/>
      <c r="R818" s="23"/>
      <c r="S818" s="24"/>
      <c r="T818" s="25"/>
      <c r="U818" s="14"/>
      <c r="V818" s="14"/>
      <c r="W818" s="24"/>
      <c r="X818" s="14"/>
    </row>
    <row r="819">
      <c r="A819" s="14"/>
      <c r="B819" s="22"/>
      <c r="C819" s="14"/>
      <c r="D819" s="14"/>
      <c r="E819" s="14"/>
      <c r="F819" s="14"/>
      <c r="G819" s="14"/>
      <c r="H819" s="14"/>
      <c r="I819" s="14"/>
      <c r="J819" s="14"/>
      <c r="K819" s="14"/>
      <c r="L819" s="14"/>
      <c r="M819" s="14"/>
      <c r="N819" s="14"/>
      <c r="O819" s="14"/>
      <c r="P819" s="14"/>
      <c r="Q819" s="14"/>
      <c r="R819" s="23"/>
      <c r="S819" s="24"/>
      <c r="T819" s="25"/>
      <c r="U819" s="14"/>
      <c r="V819" s="14"/>
      <c r="W819" s="24"/>
      <c r="X819" s="14"/>
    </row>
    <row r="820">
      <c r="A820" s="14"/>
      <c r="B820" s="22"/>
      <c r="C820" s="14"/>
      <c r="D820" s="14"/>
      <c r="E820" s="14"/>
      <c r="F820" s="14"/>
      <c r="G820" s="14"/>
      <c r="H820" s="14"/>
      <c r="I820" s="14"/>
      <c r="J820" s="14"/>
      <c r="K820" s="14"/>
      <c r="L820" s="14"/>
      <c r="M820" s="14"/>
      <c r="N820" s="14"/>
      <c r="O820" s="14"/>
      <c r="P820" s="14"/>
      <c r="Q820" s="14"/>
      <c r="R820" s="23"/>
      <c r="S820" s="24"/>
      <c r="T820" s="25"/>
      <c r="U820" s="14"/>
      <c r="V820" s="14"/>
      <c r="W820" s="24"/>
      <c r="X820" s="14"/>
    </row>
    <row r="821">
      <c r="A821" s="14"/>
      <c r="B821" s="22"/>
      <c r="C821" s="14"/>
      <c r="D821" s="14"/>
      <c r="E821" s="14"/>
      <c r="F821" s="14"/>
      <c r="G821" s="14"/>
      <c r="H821" s="14"/>
      <c r="I821" s="14"/>
      <c r="J821" s="14"/>
      <c r="K821" s="14"/>
      <c r="L821" s="14"/>
      <c r="M821" s="14"/>
      <c r="N821" s="14"/>
      <c r="O821" s="14"/>
      <c r="P821" s="14"/>
      <c r="Q821" s="14"/>
      <c r="R821" s="23"/>
      <c r="S821" s="24"/>
      <c r="T821" s="25"/>
      <c r="U821" s="14"/>
      <c r="V821" s="14"/>
      <c r="W821" s="24"/>
      <c r="X821" s="14"/>
    </row>
    <row r="822">
      <c r="A822" s="14"/>
      <c r="B822" s="22"/>
      <c r="C822" s="14"/>
      <c r="D822" s="14"/>
      <c r="E822" s="14"/>
      <c r="F822" s="14"/>
      <c r="G822" s="14"/>
      <c r="H822" s="14"/>
      <c r="I822" s="14"/>
      <c r="J822" s="14"/>
      <c r="K822" s="14"/>
      <c r="L822" s="14"/>
      <c r="M822" s="14"/>
      <c r="N822" s="14"/>
      <c r="O822" s="14"/>
      <c r="P822" s="14"/>
      <c r="Q822" s="14"/>
      <c r="R822" s="23"/>
      <c r="S822" s="24"/>
      <c r="T822" s="25"/>
      <c r="U822" s="14"/>
      <c r="V822" s="14"/>
      <c r="W822" s="24"/>
      <c r="X822" s="14"/>
    </row>
    <row r="823">
      <c r="A823" s="14"/>
      <c r="B823" s="22"/>
      <c r="C823" s="14"/>
      <c r="D823" s="14"/>
      <c r="E823" s="14"/>
      <c r="F823" s="14"/>
      <c r="G823" s="14"/>
      <c r="H823" s="14"/>
      <c r="I823" s="14"/>
      <c r="J823" s="14"/>
      <c r="K823" s="14"/>
      <c r="L823" s="14"/>
      <c r="M823" s="14"/>
      <c r="N823" s="14"/>
      <c r="O823" s="14"/>
      <c r="P823" s="14"/>
      <c r="Q823" s="14"/>
      <c r="R823" s="23"/>
      <c r="S823" s="24"/>
      <c r="T823" s="25"/>
      <c r="U823" s="14"/>
      <c r="V823" s="14"/>
      <c r="W823" s="24"/>
      <c r="X823" s="14"/>
    </row>
    <row r="824">
      <c r="A824" s="14"/>
      <c r="B824" s="22"/>
      <c r="C824" s="14"/>
      <c r="D824" s="14"/>
      <c r="E824" s="14"/>
      <c r="F824" s="14"/>
      <c r="G824" s="14"/>
      <c r="H824" s="14"/>
      <c r="I824" s="14"/>
      <c r="J824" s="14"/>
      <c r="K824" s="14"/>
      <c r="L824" s="14"/>
      <c r="M824" s="14"/>
      <c r="N824" s="14"/>
      <c r="O824" s="14"/>
      <c r="P824" s="14"/>
      <c r="Q824" s="14"/>
      <c r="R824" s="23"/>
      <c r="S824" s="24"/>
      <c r="T824" s="25"/>
      <c r="U824" s="14"/>
      <c r="V824" s="14"/>
      <c r="W824" s="24"/>
      <c r="X824" s="14"/>
    </row>
    <row r="825">
      <c r="A825" s="14"/>
      <c r="B825" s="22"/>
      <c r="C825" s="14"/>
      <c r="D825" s="14"/>
      <c r="E825" s="14"/>
      <c r="F825" s="14"/>
      <c r="G825" s="14"/>
      <c r="H825" s="14"/>
      <c r="I825" s="14"/>
      <c r="J825" s="14"/>
      <c r="K825" s="14"/>
      <c r="L825" s="14"/>
      <c r="M825" s="14"/>
      <c r="N825" s="14"/>
      <c r="O825" s="14"/>
      <c r="P825" s="14"/>
      <c r="Q825" s="14"/>
      <c r="R825" s="23"/>
      <c r="S825" s="24"/>
      <c r="T825" s="25"/>
      <c r="U825" s="14"/>
      <c r="V825" s="14"/>
      <c r="W825" s="24"/>
      <c r="X825" s="14"/>
    </row>
    <row r="826">
      <c r="A826" s="14"/>
      <c r="B826" s="22"/>
      <c r="C826" s="14"/>
      <c r="D826" s="14"/>
      <c r="E826" s="14"/>
      <c r="F826" s="14"/>
      <c r="G826" s="14"/>
      <c r="H826" s="14"/>
      <c r="I826" s="14"/>
      <c r="J826" s="14"/>
      <c r="K826" s="14"/>
      <c r="L826" s="14"/>
      <c r="M826" s="14"/>
      <c r="N826" s="14"/>
      <c r="O826" s="14"/>
      <c r="P826" s="14"/>
      <c r="Q826" s="14"/>
      <c r="R826" s="23"/>
      <c r="S826" s="24"/>
      <c r="T826" s="25"/>
      <c r="U826" s="14"/>
      <c r="V826" s="14"/>
      <c r="W826" s="24"/>
      <c r="X826" s="14"/>
    </row>
    <row r="827">
      <c r="A827" s="14"/>
      <c r="B827" s="22"/>
      <c r="C827" s="14"/>
      <c r="D827" s="14"/>
      <c r="E827" s="14"/>
      <c r="F827" s="14"/>
      <c r="G827" s="14"/>
      <c r="H827" s="14"/>
      <c r="I827" s="14"/>
      <c r="J827" s="14"/>
      <c r="K827" s="14"/>
      <c r="L827" s="14"/>
      <c r="M827" s="14"/>
      <c r="N827" s="14"/>
      <c r="O827" s="14"/>
      <c r="P827" s="14"/>
      <c r="Q827" s="14"/>
      <c r="R827" s="23"/>
      <c r="S827" s="24"/>
      <c r="T827" s="25"/>
      <c r="U827" s="14"/>
      <c r="V827" s="14"/>
      <c r="W827" s="24"/>
      <c r="X827" s="14"/>
    </row>
    <row r="828">
      <c r="A828" s="14"/>
      <c r="B828" s="22"/>
      <c r="C828" s="14"/>
      <c r="D828" s="14"/>
      <c r="E828" s="14"/>
      <c r="F828" s="14"/>
      <c r="G828" s="14"/>
      <c r="H828" s="14"/>
      <c r="I828" s="14"/>
      <c r="J828" s="14"/>
      <c r="K828" s="14"/>
      <c r="L828" s="14"/>
      <c r="M828" s="14"/>
      <c r="N828" s="14"/>
      <c r="O828" s="14"/>
      <c r="P828" s="14"/>
      <c r="Q828" s="14"/>
      <c r="R828" s="23"/>
      <c r="S828" s="24"/>
      <c r="T828" s="25"/>
      <c r="U828" s="14"/>
      <c r="V828" s="14"/>
      <c r="W828" s="24"/>
      <c r="X828" s="14"/>
    </row>
    <row r="829">
      <c r="A829" s="14"/>
      <c r="B829" s="22"/>
      <c r="C829" s="14"/>
      <c r="D829" s="14"/>
      <c r="E829" s="14"/>
      <c r="F829" s="14"/>
      <c r="G829" s="14"/>
      <c r="H829" s="14"/>
      <c r="I829" s="14"/>
      <c r="J829" s="14"/>
      <c r="K829" s="14"/>
      <c r="L829" s="14"/>
      <c r="M829" s="14"/>
      <c r="N829" s="14"/>
      <c r="O829" s="14"/>
      <c r="P829" s="14"/>
      <c r="Q829" s="14"/>
      <c r="R829" s="23"/>
      <c r="S829" s="24"/>
      <c r="T829" s="25"/>
      <c r="U829" s="14"/>
      <c r="V829" s="14"/>
      <c r="W829" s="24"/>
      <c r="X829" s="14"/>
    </row>
    <row r="830">
      <c r="A830" s="14"/>
      <c r="B830" s="22"/>
      <c r="C830" s="14"/>
      <c r="D830" s="14"/>
      <c r="E830" s="14"/>
      <c r="F830" s="14"/>
      <c r="G830" s="14"/>
      <c r="H830" s="14"/>
      <c r="I830" s="14"/>
      <c r="J830" s="14"/>
      <c r="K830" s="14"/>
      <c r="L830" s="14"/>
      <c r="M830" s="14"/>
      <c r="N830" s="14"/>
      <c r="O830" s="14"/>
      <c r="P830" s="14"/>
      <c r="Q830" s="14"/>
      <c r="R830" s="23"/>
      <c r="S830" s="24"/>
      <c r="T830" s="25"/>
      <c r="U830" s="14"/>
      <c r="V830" s="14"/>
      <c r="W830" s="24"/>
      <c r="X830" s="14"/>
    </row>
    <row r="831">
      <c r="A831" s="14"/>
      <c r="B831" s="22"/>
      <c r="C831" s="14"/>
      <c r="D831" s="14"/>
      <c r="E831" s="14"/>
      <c r="F831" s="14"/>
      <c r="G831" s="14"/>
      <c r="H831" s="14"/>
      <c r="I831" s="14"/>
      <c r="J831" s="14"/>
      <c r="K831" s="14"/>
      <c r="L831" s="14"/>
      <c r="M831" s="14"/>
      <c r="N831" s="14"/>
      <c r="O831" s="14"/>
      <c r="P831" s="14"/>
      <c r="Q831" s="14"/>
      <c r="R831" s="23"/>
      <c r="S831" s="24"/>
      <c r="T831" s="25"/>
      <c r="U831" s="14"/>
      <c r="V831" s="14"/>
      <c r="W831" s="24"/>
      <c r="X831" s="14"/>
    </row>
    <row r="832">
      <c r="A832" s="14"/>
      <c r="B832" s="22"/>
      <c r="C832" s="14"/>
      <c r="D832" s="14"/>
      <c r="E832" s="14"/>
      <c r="F832" s="14"/>
      <c r="G832" s="14"/>
      <c r="H832" s="14"/>
      <c r="I832" s="14"/>
      <c r="J832" s="14"/>
      <c r="K832" s="14"/>
      <c r="L832" s="14"/>
      <c r="M832" s="14"/>
      <c r="N832" s="14"/>
      <c r="O832" s="14"/>
      <c r="P832" s="14"/>
      <c r="Q832" s="14"/>
      <c r="R832" s="23"/>
      <c r="S832" s="24"/>
      <c r="T832" s="25"/>
      <c r="U832" s="14"/>
      <c r="V832" s="14"/>
      <c r="W832" s="24"/>
      <c r="X832" s="14"/>
    </row>
    <row r="833">
      <c r="A833" s="14"/>
      <c r="B833" s="22"/>
      <c r="C833" s="14"/>
      <c r="D833" s="14"/>
      <c r="E833" s="14"/>
      <c r="F833" s="14"/>
      <c r="G833" s="14"/>
      <c r="H833" s="14"/>
      <c r="I833" s="14"/>
      <c r="J833" s="14"/>
      <c r="K833" s="14"/>
      <c r="L833" s="14"/>
      <c r="M833" s="14"/>
      <c r="N833" s="14"/>
      <c r="O833" s="14"/>
      <c r="P833" s="14"/>
      <c r="Q833" s="14"/>
      <c r="R833" s="23"/>
      <c r="S833" s="24"/>
      <c r="T833" s="25"/>
      <c r="U833" s="14"/>
      <c r="V833" s="14"/>
      <c r="W833" s="24"/>
      <c r="X833" s="14"/>
    </row>
    <row r="834">
      <c r="A834" s="14"/>
      <c r="B834" s="22"/>
      <c r="C834" s="14"/>
      <c r="D834" s="14"/>
      <c r="E834" s="14"/>
      <c r="F834" s="14"/>
      <c r="G834" s="14"/>
      <c r="H834" s="14"/>
      <c r="I834" s="14"/>
      <c r="J834" s="14"/>
      <c r="K834" s="14"/>
      <c r="L834" s="14"/>
      <c r="M834" s="14"/>
      <c r="N834" s="14"/>
      <c r="O834" s="14"/>
      <c r="P834" s="14"/>
      <c r="Q834" s="14"/>
      <c r="R834" s="23"/>
      <c r="S834" s="24"/>
      <c r="T834" s="25"/>
      <c r="U834" s="14"/>
      <c r="V834" s="14"/>
      <c r="W834" s="24"/>
      <c r="X834" s="14"/>
    </row>
    <row r="835">
      <c r="A835" s="14"/>
      <c r="B835" s="22"/>
      <c r="C835" s="14"/>
      <c r="D835" s="14"/>
      <c r="E835" s="14"/>
      <c r="F835" s="14"/>
      <c r="G835" s="14"/>
      <c r="H835" s="14"/>
      <c r="I835" s="14"/>
      <c r="J835" s="14"/>
      <c r="K835" s="14"/>
      <c r="L835" s="14"/>
      <c r="M835" s="14"/>
      <c r="N835" s="14"/>
      <c r="O835" s="14"/>
      <c r="P835" s="14"/>
      <c r="Q835" s="14"/>
      <c r="R835" s="23"/>
      <c r="S835" s="24"/>
      <c r="T835" s="25"/>
      <c r="U835" s="14"/>
      <c r="V835" s="14"/>
      <c r="W835" s="24"/>
      <c r="X835" s="14"/>
    </row>
    <row r="836">
      <c r="A836" s="14"/>
      <c r="B836" s="22"/>
      <c r="C836" s="14"/>
      <c r="D836" s="14"/>
      <c r="E836" s="14"/>
      <c r="F836" s="14"/>
      <c r="G836" s="14"/>
      <c r="H836" s="14"/>
      <c r="I836" s="14"/>
      <c r="J836" s="14"/>
      <c r="K836" s="14"/>
      <c r="L836" s="14"/>
      <c r="M836" s="14"/>
      <c r="N836" s="14"/>
      <c r="O836" s="14"/>
      <c r="P836" s="14"/>
      <c r="Q836" s="14"/>
      <c r="R836" s="23"/>
      <c r="S836" s="24"/>
      <c r="T836" s="25"/>
      <c r="U836" s="14"/>
      <c r="V836" s="14"/>
      <c r="W836" s="24"/>
      <c r="X836" s="14"/>
    </row>
    <row r="837">
      <c r="A837" s="14"/>
      <c r="B837" s="22"/>
      <c r="C837" s="14"/>
      <c r="D837" s="14"/>
      <c r="E837" s="14"/>
      <c r="F837" s="14"/>
      <c r="G837" s="14"/>
      <c r="H837" s="14"/>
      <c r="I837" s="14"/>
      <c r="J837" s="14"/>
      <c r="K837" s="14"/>
      <c r="L837" s="14"/>
      <c r="M837" s="14"/>
      <c r="N837" s="14"/>
      <c r="O837" s="14"/>
      <c r="P837" s="14"/>
      <c r="Q837" s="14"/>
      <c r="R837" s="23"/>
      <c r="S837" s="24"/>
      <c r="T837" s="25"/>
      <c r="U837" s="14"/>
      <c r="V837" s="14"/>
      <c r="W837" s="24"/>
      <c r="X837" s="14"/>
    </row>
    <row r="838">
      <c r="A838" s="14"/>
      <c r="B838" s="22"/>
      <c r="C838" s="14"/>
      <c r="D838" s="14"/>
      <c r="E838" s="14"/>
      <c r="F838" s="14"/>
      <c r="G838" s="14"/>
      <c r="H838" s="14"/>
      <c r="I838" s="14"/>
      <c r="J838" s="14"/>
      <c r="K838" s="14"/>
      <c r="L838" s="14"/>
      <c r="M838" s="14"/>
      <c r="N838" s="14"/>
      <c r="O838" s="14"/>
      <c r="P838" s="14"/>
      <c r="Q838" s="14"/>
      <c r="R838" s="23"/>
      <c r="S838" s="24"/>
      <c r="T838" s="25"/>
      <c r="U838" s="14"/>
      <c r="V838" s="14"/>
      <c r="W838" s="24"/>
      <c r="X838" s="14"/>
    </row>
    <row r="839">
      <c r="A839" s="14"/>
      <c r="B839" s="22"/>
      <c r="C839" s="14"/>
      <c r="D839" s="14"/>
      <c r="E839" s="14"/>
      <c r="F839" s="14"/>
      <c r="G839" s="14"/>
      <c r="H839" s="14"/>
      <c r="I839" s="14"/>
      <c r="J839" s="14"/>
      <c r="K839" s="14"/>
      <c r="L839" s="14"/>
      <c r="M839" s="14"/>
      <c r="N839" s="14"/>
      <c r="O839" s="14"/>
      <c r="P839" s="14"/>
      <c r="Q839" s="14"/>
      <c r="R839" s="23"/>
      <c r="S839" s="24"/>
      <c r="T839" s="25"/>
      <c r="U839" s="14"/>
      <c r="V839" s="14"/>
      <c r="W839" s="24"/>
      <c r="X839" s="14"/>
    </row>
    <row r="840">
      <c r="A840" s="14"/>
      <c r="B840" s="22"/>
      <c r="C840" s="14"/>
      <c r="D840" s="14"/>
      <c r="E840" s="14"/>
      <c r="F840" s="14"/>
      <c r="G840" s="14"/>
      <c r="H840" s="14"/>
      <c r="I840" s="14"/>
      <c r="J840" s="14"/>
      <c r="K840" s="14"/>
      <c r="L840" s="14"/>
      <c r="M840" s="14"/>
      <c r="N840" s="14"/>
      <c r="O840" s="14"/>
      <c r="P840" s="14"/>
      <c r="Q840" s="14"/>
      <c r="R840" s="23"/>
      <c r="S840" s="24"/>
      <c r="T840" s="25"/>
      <c r="U840" s="14"/>
      <c r="V840" s="14"/>
      <c r="W840" s="24"/>
      <c r="X840" s="14"/>
    </row>
    <row r="841">
      <c r="A841" s="14"/>
      <c r="B841" s="22"/>
      <c r="C841" s="14"/>
      <c r="D841" s="14"/>
      <c r="E841" s="14"/>
      <c r="F841" s="14"/>
      <c r="G841" s="14"/>
      <c r="H841" s="14"/>
      <c r="I841" s="14"/>
      <c r="J841" s="14"/>
      <c r="K841" s="14"/>
      <c r="L841" s="14"/>
      <c r="M841" s="14"/>
      <c r="N841" s="14"/>
      <c r="O841" s="14"/>
      <c r="P841" s="14"/>
      <c r="Q841" s="14"/>
      <c r="R841" s="23"/>
      <c r="S841" s="24"/>
      <c r="T841" s="25"/>
      <c r="U841" s="14"/>
      <c r="V841" s="14"/>
      <c r="W841" s="24"/>
      <c r="X841" s="14"/>
    </row>
    <row r="842">
      <c r="A842" s="14"/>
      <c r="B842" s="22"/>
      <c r="C842" s="14"/>
      <c r="D842" s="14"/>
      <c r="E842" s="14"/>
      <c r="F842" s="14"/>
      <c r="G842" s="14"/>
      <c r="H842" s="14"/>
      <c r="I842" s="14"/>
      <c r="J842" s="14"/>
      <c r="K842" s="14"/>
      <c r="L842" s="14"/>
      <c r="M842" s="14"/>
      <c r="N842" s="14"/>
      <c r="O842" s="14"/>
      <c r="P842" s="14"/>
      <c r="Q842" s="14"/>
      <c r="R842" s="23"/>
      <c r="S842" s="24"/>
      <c r="T842" s="25"/>
      <c r="U842" s="14"/>
      <c r="V842" s="14"/>
      <c r="W842" s="24"/>
      <c r="X842" s="14"/>
    </row>
    <row r="843">
      <c r="A843" s="14"/>
      <c r="B843" s="22"/>
      <c r="C843" s="14"/>
      <c r="D843" s="14"/>
      <c r="E843" s="14"/>
      <c r="F843" s="14"/>
      <c r="G843" s="14"/>
      <c r="H843" s="14"/>
      <c r="I843" s="14"/>
      <c r="J843" s="14"/>
      <c r="K843" s="14"/>
      <c r="L843" s="14"/>
      <c r="M843" s="14"/>
      <c r="N843" s="14"/>
      <c r="O843" s="14"/>
      <c r="P843" s="14"/>
      <c r="Q843" s="14"/>
      <c r="R843" s="23"/>
      <c r="S843" s="24"/>
      <c r="T843" s="25"/>
      <c r="U843" s="14"/>
      <c r="V843" s="14"/>
      <c r="W843" s="24"/>
      <c r="X843" s="14"/>
    </row>
    <row r="844">
      <c r="A844" s="14"/>
      <c r="B844" s="22"/>
      <c r="C844" s="14"/>
      <c r="D844" s="14"/>
      <c r="E844" s="14"/>
      <c r="F844" s="14"/>
      <c r="G844" s="14"/>
      <c r="H844" s="14"/>
      <c r="I844" s="14"/>
      <c r="J844" s="14"/>
      <c r="K844" s="14"/>
      <c r="L844" s="14"/>
      <c r="M844" s="14"/>
      <c r="N844" s="14"/>
      <c r="O844" s="14"/>
      <c r="P844" s="14"/>
      <c r="Q844" s="14"/>
      <c r="R844" s="23"/>
      <c r="S844" s="24"/>
      <c r="T844" s="25"/>
      <c r="U844" s="14"/>
      <c r="V844" s="14"/>
      <c r="W844" s="24"/>
      <c r="X844" s="14"/>
    </row>
    <row r="845">
      <c r="A845" s="14"/>
      <c r="B845" s="22"/>
      <c r="C845" s="14"/>
      <c r="D845" s="14"/>
      <c r="E845" s="14"/>
      <c r="F845" s="14"/>
      <c r="G845" s="14"/>
      <c r="H845" s="14"/>
      <c r="I845" s="14"/>
      <c r="J845" s="14"/>
      <c r="K845" s="14"/>
      <c r="L845" s="14"/>
      <c r="M845" s="14"/>
      <c r="N845" s="14"/>
      <c r="O845" s="14"/>
      <c r="P845" s="14"/>
      <c r="Q845" s="14"/>
      <c r="R845" s="23"/>
      <c r="S845" s="24"/>
      <c r="T845" s="25"/>
      <c r="U845" s="14"/>
      <c r="V845" s="14"/>
      <c r="W845" s="24"/>
      <c r="X845" s="14"/>
    </row>
    <row r="846">
      <c r="A846" s="14"/>
      <c r="B846" s="22"/>
      <c r="C846" s="14"/>
      <c r="D846" s="14"/>
      <c r="E846" s="14"/>
      <c r="F846" s="14"/>
      <c r="G846" s="14"/>
      <c r="H846" s="14"/>
      <c r="I846" s="14"/>
      <c r="J846" s="14"/>
      <c r="K846" s="14"/>
      <c r="L846" s="14"/>
      <c r="M846" s="14"/>
      <c r="N846" s="14"/>
      <c r="O846" s="14"/>
      <c r="P846" s="14"/>
      <c r="Q846" s="14"/>
      <c r="R846" s="23"/>
      <c r="S846" s="24"/>
      <c r="T846" s="25"/>
      <c r="U846" s="14"/>
      <c r="V846" s="14"/>
      <c r="W846" s="24"/>
      <c r="X846" s="14"/>
    </row>
    <row r="847">
      <c r="A847" s="14"/>
      <c r="B847" s="22"/>
      <c r="C847" s="14"/>
      <c r="D847" s="14"/>
      <c r="E847" s="14"/>
      <c r="F847" s="14"/>
      <c r="G847" s="14"/>
      <c r="H847" s="14"/>
      <c r="I847" s="14"/>
      <c r="J847" s="14"/>
      <c r="K847" s="14"/>
      <c r="L847" s="14"/>
      <c r="M847" s="14"/>
      <c r="N847" s="14"/>
      <c r="O847" s="14"/>
      <c r="P847" s="14"/>
      <c r="Q847" s="14"/>
      <c r="R847" s="23"/>
      <c r="S847" s="24"/>
      <c r="T847" s="25"/>
      <c r="U847" s="14"/>
      <c r="V847" s="14"/>
      <c r="W847" s="24"/>
      <c r="X847" s="14"/>
    </row>
    <row r="848">
      <c r="A848" s="14"/>
      <c r="B848" s="22"/>
      <c r="C848" s="14"/>
      <c r="D848" s="14"/>
      <c r="E848" s="14"/>
      <c r="F848" s="14"/>
      <c r="G848" s="14"/>
      <c r="H848" s="14"/>
      <c r="I848" s="14"/>
      <c r="J848" s="14"/>
      <c r="K848" s="14"/>
      <c r="L848" s="14"/>
      <c r="M848" s="14"/>
      <c r="N848" s="14"/>
      <c r="O848" s="14"/>
      <c r="P848" s="14"/>
      <c r="Q848" s="14"/>
      <c r="R848" s="23"/>
      <c r="S848" s="24"/>
      <c r="T848" s="25"/>
      <c r="U848" s="14"/>
      <c r="V848" s="14"/>
      <c r="W848" s="24"/>
      <c r="X848" s="14"/>
    </row>
    <row r="849">
      <c r="A849" s="14"/>
      <c r="B849" s="22"/>
      <c r="C849" s="14"/>
      <c r="D849" s="14"/>
      <c r="E849" s="14"/>
      <c r="F849" s="14"/>
      <c r="G849" s="14"/>
      <c r="H849" s="14"/>
      <c r="I849" s="14"/>
      <c r="J849" s="14"/>
      <c r="K849" s="14"/>
      <c r="L849" s="14"/>
      <c r="M849" s="14"/>
      <c r="N849" s="14"/>
      <c r="O849" s="14"/>
      <c r="P849" s="14"/>
      <c r="Q849" s="14"/>
      <c r="R849" s="23"/>
      <c r="S849" s="24"/>
      <c r="T849" s="25"/>
      <c r="U849" s="14"/>
      <c r="V849" s="14"/>
      <c r="W849" s="24"/>
      <c r="X849" s="14"/>
    </row>
    <row r="850">
      <c r="A850" s="14"/>
      <c r="B850" s="22"/>
      <c r="C850" s="14"/>
      <c r="D850" s="14"/>
      <c r="E850" s="14"/>
      <c r="F850" s="14"/>
      <c r="G850" s="14"/>
      <c r="H850" s="14"/>
      <c r="I850" s="14"/>
      <c r="J850" s="14"/>
      <c r="K850" s="14"/>
      <c r="L850" s="14"/>
      <c r="M850" s="14"/>
      <c r="N850" s="14"/>
      <c r="O850" s="14"/>
      <c r="P850" s="14"/>
      <c r="Q850" s="14"/>
      <c r="R850" s="23"/>
      <c r="S850" s="24"/>
      <c r="T850" s="25"/>
      <c r="U850" s="14"/>
      <c r="V850" s="14"/>
      <c r="W850" s="24"/>
      <c r="X850" s="14"/>
    </row>
    <row r="851">
      <c r="A851" s="14"/>
      <c r="B851" s="22"/>
      <c r="C851" s="14"/>
      <c r="D851" s="14"/>
      <c r="E851" s="14"/>
      <c r="F851" s="14"/>
      <c r="G851" s="14"/>
      <c r="H851" s="14"/>
      <c r="I851" s="14"/>
      <c r="J851" s="14"/>
      <c r="K851" s="14"/>
      <c r="L851" s="14"/>
      <c r="M851" s="14"/>
      <c r="N851" s="14"/>
      <c r="O851" s="14"/>
      <c r="P851" s="14"/>
      <c r="Q851" s="14"/>
      <c r="R851" s="23"/>
      <c r="S851" s="24"/>
      <c r="T851" s="25"/>
      <c r="U851" s="14"/>
      <c r="V851" s="14"/>
      <c r="W851" s="24"/>
      <c r="X851" s="14"/>
    </row>
    <row r="852">
      <c r="A852" s="14"/>
      <c r="B852" s="22"/>
      <c r="C852" s="14"/>
      <c r="D852" s="14"/>
      <c r="E852" s="14"/>
      <c r="F852" s="14"/>
      <c r="G852" s="14"/>
      <c r="H852" s="14"/>
      <c r="I852" s="14"/>
      <c r="J852" s="14"/>
      <c r="K852" s="14"/>
      <c r="L852" s="14"/>
      <c r="M852" s="14"/>
      <c r="N852" s="14"/>
      <c r="O852" s="14"/>
      <c r="P852" s="14"/>
      <c r="Q852" s="14"/>
      <c r="R852" s="23"/>
      <c r="S852" s="24"/>
      <c r="T852" s="25"/>
      <c r="U852" s="14"/>
      <c r="V852" s="14"/>
      <c r="W852" s="24"/>
      <c r="X852" s="14"/>
    </row>
    <row r="853">
      <c r="A853" s="14"/>
      <c r="B853" s="22"/>
      <c r="C853" s="14"/>
      <c r="D853" s="14"/>
      <c r="E853" s="14"/>
      <c r="F853" s="14"/>
      <c r="G853" s="14"/>
      <c r="H853" s="14"/>
      <c r="I853" s="14"/>
      <c r="J853" s="14"/>
      <c r="K853" s="14"/>
      <c r="L853" s="14"/>
      <c r="M853" s="14"/>
      <c r="N853" s="14"/>
      <c r="O853" s="14"/>
      <c r="P853" s="14"/>
      <c r="Q853" s="14"/>
      <c r="R853" s="23"/>
      <c r="S853" s="24"/>
      <c r="T853" s="25"/>
      <c r="U853" s="14"/>
      <c r="V853" s="14"/>
      <c r="W853" s="24"/>
      <c r="X853" s="14"/>
    </row>
    <row r="854">
      <c r="A854" s="14"/>
      <c r="B854" s="22"/>
      <c r="C854" s="14"/>
      <c r="D854" s="14"/>
      <c r="E854" s="14"/>
      <c r="F854" s="14"/>
      <c r="G854" s="14"/>
      <c r="H854" s="14"/>
      <c r="I854" s="14"/>
      <c r="J854" s="14"/>
      <c r="K854" s="14"/>
      <c r="L854" s="14"/>
      <c r="M854" s="14"/>
      <c r="N854" s="14"/>
      <c r="O854" s="14"/>
      <c r="P854" s="14"/>
      <c r="Q854" s="14"/>
      <c r="R854" s="23"/>
      <c r="S854" s="24"/>
      <c r="T854" s="25"/>
      <c r="U854" s="14"/>
      <c r="V854" s="14"/>
      <c r="W854" s="24"/>
      <c r="X854" s="14"/>
    </row>
    <row r="855">
      <c r="A855" s="14"/>
      <c r="B855" s="22"/>
      <c r="C855" s="14"/>
      <c r="D855" s="14"/>
      <c r="E855" s="14"/>
      <c r="F855" s="14"/>
      <c r="G855" s="14"/>
      <c r="H855" s="14"/>
      <c r="I855" s="14"/>
      <c r="J855" s="14"/>
      <c r="K855" s="14"/>
      <c r="L855" s="14"/>
      <c r="M855" s="14"/>
      <c r="N855" s="14"/>
      <c r="O855" s="14"/>
      <c r="P855" s="14"/>
      <c r="Q855" s="14"/>
      <c r="R855" s="23"/>
      <c r="S855" s="24"/>
      <c r="T855" s="25"/>
      <c r="U855" s="14"/>
      <c r="V855" s="14"/>
      <c r="W855" s="24"/>
      <c r="X855" s="14"/>
    </row>
    <row r="856">
      <c r="A856" s="14"/>
      <c r="B856" s="22"/>
      <c r="C856" s="14"/>
      <c r="D856" s="14"/>
      <c r="E856" s="14"/>
      <c r="F856" s="14"/>
      <c r="G856" s="14"/>
      <c r="H856" s="14"/>
      <c r="I856" s="14"/>
      <c r="J856" s="14"/>
      <c r="K856" s="14"/>
      <c r="L856" s="14"/>
      <c r="M856" s="14"/>
      <c r="N856" s="14"/>
      <c r="O856" s="14"/>
      <c r="P856" s="14"/>
      <c r="Q856" s="14"/>
      <c r="R856" s="23"/>
      <c r="S856" s="24"/>
      <c r="T856" s="25"/>
      <c r="U856" s="14"/>
      <c r="V856" s="14"/>
      <c r="W856" s="24"/>
      <c r="X856" s="14"/>
    </row>
    <row r="857">
      <c r="A857" s="14"/>
      <c r="B857" s="22"/>
      <c r="C857" s="14"/>
      <c r="D857" s="14"/>
      <c r="E857" s="14"/>
      <c r="F857" s="14"/>
      <c r="G857" s="14"/>
      <c r="H857" s="14"/>
      <c r="I857" s="14"/>
      <c r="J857" s="14"/>
      <c r="K857" s="14"/>
      <c r="L857" s="14"/>
      <c r="M857" s="14"/>
      <c r="N857" s="14"/>
      <c r="O857" s="14"/>
      <c r="P857" s="14"/>
      <c r="Q857" s="14"/>
      <c r="R857" s="23"/>
      <c r="S857" s="24"/>
      <c r="T857" s="25"/>
      <c r="U857" s="14"/>
      <c r="V857" s="14"/>
      <c r="W857" s="24"/>
      <c r="X857" s="14"/>
    </row>
    <row r="858">
      <c r="A858" s="14"/>
      <c r="B858" s="22"/>
      <c r="C858" s="14"/>
      <c r="D858" s="14"/>
      <c r="E858" s="14"/>
      <c r="F858" s="14"/>
      <c r="G858" s="14"/>
      <c r="H858" s="14"/>
      <c r="I858" s="14"/>
      <c r="J858" s="14"/>
      <c r="K858" s="14"/>
      <c r="L858" s="14"/>
      <c r="M858" s="14"/>
      <c r="N858" s="14"/>
      <c r="O858" s="14"/>
      <c r="P858" s="14"/>
      <c r="Q858" s="14"/>
      <c r="R858" s="23"/>
      <c r="S858" s="24"/>
      <c r="T858" s="25"/>
      <c r="U858" s="14"/>
      <c r="V858" s="14"/>
      <c r="W858" s="24"/>
      <c r="X858" s="14"/>
    </row>
    <row r="859">
      <c r="A859" s="14"/>
      <c r="B859" s="22"/>
      <c r="C859" s="14"/>
      <c r="D859" s="14"/>
      <c r="E859" s="14"/>
      <c r="F859" s="14"/>
      <c r="G859" s="14"/>
      <c r="H859" s="14"/>
      <c r="I859" s="14"/>
      <c r="J859" s="14"/>
      <c r="K859" s="14"/>
      <c r="L859" s="14"/>
      <c r="M859" s="14"/>
      <c r="N859" s="14"/>
      <c r="O859" s="14"/>
      <c r="P859" s="14"/>
      <c r="Q859" s="14"/>
      <c r="R859" s="23"/>
      <c r="S859" s="24"/>
      <c r="T859" s="25"/>
      <c r="U859" s="14"/>
      <c r="V859" s="14"/>
      <c r="W859" s="24"/>
      <c r="X859" s="14"/>
    </row>
    <row r="860">
      <c r="A860" s="14"/>
      <c r="B860" s="22"/>
      <c r="C860" s="14"/>
      <c r="D860" s="14"/>
      <c r="E860" s="14"/>
      <c r="F860" s="14"/>
      <c r="G860" s="14"/>
      <c r="H860" s="14"/>
      <c r="I860" s="14"/>
      <c r="J860" s="14"/>
      <c r="K860" s="14"/>
      <c r="L860" s="14"/>
      <c r="M860" s="14"/>
      <c r="N860" s="14"/>
      <c r="O860" s="14"/>
      <c r="P860" s="14"/>
      <c r="Q860" s="14"/>
      <c r="R860" s="23"/>
      <c r="S860" s="24"/>
      <c r="T860" s="25"/>
      <c r="U860" s="14"/>
      <c r="V860" s="14"/>
      <c r="W860" s="24"/>
      <c r="X860" s="14"/>
    </row>
    <row r="861">
      <c r="A861" s="14"/>
      <c r="B861" s="22"/>
      <c r="C861" s="14"/>
      <c r="D861" s="14"/>
      <c r="E861" s="14"/>
      <c r="F861" s="14"/>
      <c r="G861" s="14"/>
      <c r="H861" s="14"/>
      <c r="I861" s="14"/>
      <c r="J861" s="14"/>
      <c r="K861" s="14"/>
      <c r="L861" s="14"/>
      <c r="M861" s="14"/>
      <c r="N861" s="14"/>
      <c r="O861" s="14"/>
      <c r="P861" s="14"/>
      <c r="Q861" s="14"/>
      <c r="R861" s="23"/>
      <c r="S861" s="24"/>
      <c r="T861" s="25"/>
      <c r="U861" s="14"/>
      <c r="V861" s="14"/>
      <c r="W861" s="24"/>
      <c r="X861" s="14"/>
    </row>
    <row r="862">
      <c r="A862" s="14"/>
      <c r="B862" s="22"/>
      <c r="C862" s="14"/>
      <c r="D862" s="14"/>
      <c r="E862" s="14"/>
      <c r="F862" s="14"/>
      <c r="G862" s="14"/>
      <c r="H862" s="14"/>
      <c r="I862" s="14"/>
      <c r="J862" s="14"/>
      <c r="K862" s="14"/>
      <c r="L862" s="14"/>
      <c r="M862" s="14"/>
      <c r="N862" s="14"/>
      <c r="O862" s="14"/>
      <c r="P862" s="14"/>
      <c r="Q862" s="14"/>
      <c r="R862" s="23"/>
      <c r="S862" s="24"/>
      <c r="T862" s="25"/>
      <c r="U862" s="14"/>
      <c r="V862" s="14"/>
      <c r="W862" s="24"/>
      <c r="X862" s="14"/>
    </row>
    <row r="863">
      <c r="A863" s="14"/>
      <c r="B863" s="22"/>
      <c r="C863" s="14"/>
      <c r="D863" s="14"/>
      <c r="E863" s="14"/>
      <c r="F863" s="14"/>
      <c r="G863" s="14"/>
      <c r="H863" s="14"/>
      <c r="I863" s="14"/>
      <c r="J863" s="14"/>
      <c r="K863" s="14"/>
      <c r="L863" s="14"/>
      <c r="M863" s="14"/>
      <c r="N863" s="14"/>
      <c r="O863" s="14"/>
      <c r="P863" s="14"/>
      <c r="Q863" s="14"/>
      <c r="R863" s="23"/>
      <c r="S863" s="24"/>
      <c r="T863" s="25"/>
      <c r="U863" s="14"/>
      <c r="V863" s="14"/>
      <c r="W863" s="24"/>
      <c r="X863" s="14"/>
    </row>
    <row r="864">
      <c r="A864" s="14"/>
      <c r="B864" s="22"/>
      <c r="C864" s="14"/>
      <c r="D864" s="14"/>
      <c r="E864" s="14"/>
      <c r="F864" s="14"/>
      <c r="G864" s="14"/>
      <c r="H864" s="14"/>
      <c r="I864" s="14"/>
      <c r="J864" s="14"/>
      <c r="K864" s="14"/>
      <c r="L864" s="14"/>
      <c r="M864" s="14"/>
      <c r="N864" s="14"/>
      <c r="O864" s="14"/>
      <c r="P864" s="14"/>
      <c r="Q864" s="14"/>
      <c r="R864" s="23"/>
      <c r="S864" s="24"/>
      <c r="T864" s="25"/>
      <c r="U864" s="14"/>
      <c r="V864" s="14"/>
      <c r="W864" s="24"/>
      <c r="X864" s="14"/>
    </row>
    <row r="865">
      <c r="A865" s="14"/>
      <c r="B865" s="22"/>
      <c r="C865" s="14"/>
      <c r="D865" s="14"/>
      <c r="E865" s="14"/>
      <c r="F865" s="14"/>
      <c r="G865" s="14"/>
      <c r="H865" s="14"/>
      <c r="I865" s="14"/>
      <c r="J865" s="14"/>
      <c r="K865" s="14"/>
      <c r="L865" s="14"/>
      <c r="M865" s="14"/>
      <c r="N865" s="14"/>
      <c r="O865" s="14"/>
      <c r="P865" s="14"/>
      <c r="Q865" s="14"/>
      <c r="R865" s="23"/>
      <c r="S865" s="24"/>
      <c r="T865" s="25"/>
      <c r="U865" s="14"/>
      <c r="V865" s="14"/>
      <c r="W865" s="24"/>
      <c r="X865" s="14"/>
    </row>
    <row r="866">
      <c r="A866" s="14"/>
      <c r="B866" s="22"/>
      <c r="C866" s="14"/>
      <c r="D866" s="14"/>
      <c r="E866" s="14"/>
      <c r="F866" s="14"/>
      <c r="G866" s="14"/>
      <c r="H866" s="14"/>
      <c r="I866" s="14"/>
      <c r="J866" s="14"/>
      <c r="K866" s="14"/>
      <c r="L866" s="14"/>
      <c r="M866" s="14"/>
      <c r="N866" s="14"/>
      <c r="O866" s="14"/>
      <c r="P866" s="14"/>
      <c r="Q866" s="14"/>
      <c r="R866" s="23"/>
      <c r="S866" s="24"/>
      <c r="T866" s="25"/>
      <c r="U866" s="14"/>
      <c r="V866" s="14"/>
      <c r="W866" s="24"/>
      <c r="X866" s="14"/>
    </row>
    <row r="867">
      <c r="A867" s="14"/>
      <c r="B867" s="22"/>
      <c r="C867" s="14"/>
      <c r="D867" s="14"/>
      <c r="E867" s="14"/>
      <c r="F867" s="14"/>
      <c r="G867" s="14"/>
      <c r="H867" s="14"/>
      <c r="I867" s="14"/>
      <c r="J867" s="14"/>
      <c r="K867" s="14"/>
      <c r="L867" s="14"/>
      <c r="M867" s="14"/>
      <c r="N867" s="14"/>
      <c r="O867" s="14"/>
      <c r="P867" s="14"/>
      <c r="Q867" s="14"/>
      <c r="R867" s="23"/>
      <c r="S867" s="24"/>
      <c r="T867" s="25"/>
      <c r="U867" s="14"/>
      <c r="V867" s="14"/>
      <c r="W867" s="24"/>
      <c r="X867" s="14"/>
    </row>
    <row r="868">
      <c r="A868" s="14"/>
      <c r="B868" s="22"/>
      <c r="C868" s="14"/>
      <c r="D868" s="14"/>
      <c r="E868" s="14"/>
      <c r="F868" s="14"/>
      <c r="G868" s="14"/>
      <c r="H868" s="14"/>
      <c r="I868" s="14"/>
      <c r="J868" s="14"/>
      <c r="K868" s="14"/>
      <c r="L868" s="14"/>
      <c r="M868" s="14"/>
      <c r="N868" s="14"/>
      <c r="O868" s="14"/>
      <c r="P868" s="14"/>
      <c r="Q868" s="14"/>
      <c r="R868" s="23"/>
      <c r="S868" s="24"/>
      <c r="T868" s="25"/>
      <c r="U868" s="14"/>
      <c r="V868" s="14"/>
      <c r="W868" s="24"/>
      <c r="X868" s="14"/>
    </row>
    <row r="869">
      <c r="A869" s="14"/>
      <c r="B869" s="22"/>
      <c r="C869" s="14"/>
      <c r="D869" s="14"/>
      <c r="E869" s="14"/>
      <c r="F869" s="14"/>
      <c r="G869" s="14"/>
      <c r="H869" s="14"/>
      <c r="I869" s="14"/>
      <c r="J869" s="14"/>
      <c r="K869" s="14"/>
      <c r="L869" s="14"/>
      <c r="M869" s="14"/>
      <c r="N869" s="14"/>
      <c r="O869" s="14"/>
      <c r="P869" s="14"/>
      <c r="Q869" s="14"/>
      <c r="R869" s="23"/>
      <c r="S869" s="24"/>
      <c r="T869" s="25"/>
      <c r="U869" s="14"/>
      <c r="V869" s="14"/>
      <c r="W869" s="24"/>
      <c r="X869" s="14"/>
    </row>
    <row r="870">
      <c r="A870" s="14"/>
      <c r="B870" s="22"/>
      <c r="C870" s="14"/>
      <c r="D870" s="14"/>
      <c r="E870" s="14"/>
      <c r="F870" s="14"/>
      <c r="G870" s="14"/>
      <c r="H870" s="14"/>
      <c r="I870" s="14"/>
      <c r="J870" s="14"/>
      <c r="K870" s="14"/>
      <c r="L870" s="14"/>
      <c r="M870" s="14"/>
      <c r="N870" s="14"/>
      <c r="O870" s="14"/>
      <c r="P870" s="14"/>
      <c r="Q870" s="14"/>
      <c r="R870" s="23"/>
      <c r="S870" s="24"/>
      <c r="T870" s="25"/>
      <c r="U870" s="14"/>
      <c r="V870" s="14"/>
      <c r="W870" s="24"/>
      <c r="X870" s="14"/>
    </row>
    <row r="871">
      <c r="A871" s="14"/>
      <c r="B871" s="22"/>
      <c r="C871" s="14"/>
      <c r="D871" s="14"/>
      <c r="E871" s="14"/>
      <c r="F871" s="14"/>
      <c r="G871" s="14"/>
      <c r="H871" s="14"/>
      <c r="I871" s="14"/>
      <c r="J871" s="14"/>
      <c r="K871" s="14"/>
      <c r="L871" s="14"/>
      <c r="M871" s="14"/>
      <c r="N871" s="14"/>
      <c r="O871" s="14"/>
      <c r="P871" s="14"/>
      <c r="Q871" s="14"/>
      <c r="R871" s="23"/>
      <c r="S871" s="24"/>
      <c r="T871" s="25"/>
      <c r="U871" s="14"/>
      <c r="V871" s="14"/>
      <c r="W871" s="24"/>
      <c r="X871" s="14"/>
    </row>
    <row r="872">
      <c r="A872" s="14"/>
      <c r="B872" s="22"/>
      <c r="C872" s="14"/>
      <c r="D872" s="14"/>
      <c r="E872" s="14"/>
      <c r="F872" s="14"/>
      <c r="G872" s="14"/>
      <c r="H872" s="14"/>
      <c r="I872" s="14"/>
      <c r="J872" s="14"/>
      <c r="K872" s="14"/>
      <c r="L872" s="14"/>
      <c r="M872" s="14"/>
      <c r="N872" s="14"/>
      <c r="O872" s="14"/>
      <c r="P872" s="14"/>
      <c r="Q872" s="14"/>
      <c r="R872" s="23"/>
      <c r="S872" s="24"/>
      <c r="T872" s="25"/>
      <c r="U872" s="14"/>
      <c r="V872" s="14"/>
      <c r="W872" s="24"/>
      <c r="X872" s="14"/>
    </row>
    <row r="873">
      <c r="A873" s="14"/>
      <c r="B873" s="22"/>
      <c r="C873" s="14"/>
      <c r="D873" s="14"/>
      <c r="E873" s="14"/>
      <c r="F873" s="14"/>
      <c r="G873" s="14"/>
      <c r="H873" s="14"/>
      <c r="I873" s="14"/>
      <c r="J873" s="14"/>
      <c r="K873" s="14"/>
      <c r="L873" s="14"/>
      <c r="M873" s="14"/>
      <c r="N873" s="14"/>
      <c r="O873" s="14"/>
      <c r="P873" s="14"/>
      <c r="Q873" s="14"/>
      <c r="R873" s="23"/>
      <c r="S873" s="24"/>
      <c r="T873" s="25"/>
      <c r="U873" s="14"/>
      <c r="V873" s="14"/>
      <c r="W873" s="24"/>
      <c r="X873" s="14"/>
    </row>
    <row r="874">
      <c r="A874" s="14"/>
      <c r="B874" s="22"/>
      <c r="C874" s="14"/>
      <c r="D874" s="14"/>
      <c r="E874" s="14"/>
      <c r="F874" s="14"/>
      <c r="G874" s="14"/>
      <c r="H874" s="14"/>
      <c r="I874" s="14"/>
      <c r="J874" s="14"/>
      <c r="K874" s="14"/>
      <c r="L874" s="14"/>
      <c r="M874" s="14"/>
      <c r="N874" s="14"/>
      <c r="O874" s="14"/>
      <c r="P874" s="14"/>
      <c r="Q874" s="14"/>
      <c r="R874" s="23"/>
      <c r="S874" s="24"/>
      <c r="T874" s="25"/>
      <c r="U874" s="14"/>
      <c r="V874" s="14"/>
      <c r="W874" s="24"/>
      <c r="X874" s="14"/>
    </row>
    <row r="875">
      <c r="A875" s="14"/>
      <c r="B875" s="22"/>
      <c r="C875" s="14"/>
      <c r="D875" s="14"/>
      <c r="E875" s="14"/>
      <c r="F875" s="14"/>
      <c r="G875" s="14"/>
      <c r="H875" s="14"/>
      <c r="I875" s="14"/>
      <c r="J875" s="14"/>
      <c r="K875" s="14"/>
      <c r="L875" s="14"/>
      <c r="M875" s="14"/>
      <c r="N875" s="14"/>
      <c r="O875" s="14"/>
      <c r="P875" s="14"/>
      <c r="Q875" s="14"/>
      <c r="R875" s="23"/>
      <c r="S875" s="24"/>
      <c r="T875" s="25"/>
      <c r="U875" s="14"/>
      <c r="V875" s="14"/>
      <c r="W875" s="24"/>
      <c r="X875" s="14"/>
    </row>
    <row r="876">
      <c r="A876" s="14"/>
      <c r="B876" s="22"/>
      <c r="C876" s="14"/>
      <c r="D876" s="14"/>
      <c r="E876" s="14"/>
      <c r="F876" s="14"/>
      <c r="G876" s="14"/>
      <c r="H876" s="14"/>
      <c r="I876" s="14"/>
      <c r="J876" s="14"/>
      <c r="K876" s="14"/>
      <c r="L876" s="14"/>
      <c r="M876" s="14"/>
      <c r="N876" s="14"/>
      <c r="O876" s="14"/>
      <c r="P876" s="14"/>
      <c r="Q876" s="14"/>
      <c r="R876" s="23"/>
      <c r="S876" s="24"/>
      <c r="T876" s="25"/>
      <c r="U876" s="14"/>
      <c r="V876" s="14"/>
      <c r="W876" s="24"/>
      <c r="X876" s="14"/>
    </row>
    <row r="877">
      <c r="A877" s="14"/>
      <c r="B877" s="22"/>
      <c r="C877" s="14"/>
      <c r="D877" s="14"/>
      <c r="E877" s="14"/>
      <c r="F877" s="14"/>
      <c r="G877" s="14"/>
      <c r="H877" s="14"/>
      <c r="I877" s="14"/>
      <c r="J877" s="14"/>
      <c r="K877" s="14"/>
      <c r="L877" s="14"/>
      <c r="M877" s="14"/>
      <c r="N877" s="14"/>
      <c r="O877" s="14"/>
      <c r="P877" s="14"/>
      <c r="Q877" s="14"/>
      <c r="R877" s="23"/>
      <c r="S877" s="24"/>
      <c r="T877" s="25"/>
      <c r="U877" s="14"/>
      <c r="V877" s="14"/>
      <c r="W877" s="24"/>
      <c r="X877" s="14"/>
    </row>
    <row r="878">
      <c r="A878" s="14"/>
      <c r="B878" s="22"/>
      <c r="C878" s="14"/>
      <c r="D878" s="14"/>
      <c r="E878" s="14"/>
      <c r="F878" s="14"/>
      <c r="G878" s="14"/>
      <c r="H878" s="14"/>
      <c r="I878" s="14"/>
      <c r="J878" s="14"/>
      <c r="K878" s="14"/>
      <c r="L878" s="14"/>
      <c r="M878" s="14"/>
      <c r="N878" s="14"/>
      <c r="O878" s="14"/>
      <c r="P878" s="14"/>
      <c r="Q878" s="14"/>
      <c r="R878" s="23"/>
      <c r="S878" s="24"/>
      <c r="T878" s="25"/>
      <c r="U878" s="14"/>
      <c r="V878" s="14"/>
      <c r="W878" s="24"/>
      <c r="X878" s="14"/>
    </row>
    <row r="879">
      <c r="A879" s="14"/>
      <c r="B879" s="22"/>
      <c r="C879" s="14"/>
      <c r="D879" s="14"/>
      <c r="E879" s="14"/>
      <c r="F879" s="14"/>
      <c r="G879" s="14"/>
      <c r="H879" s="14"/>
      <c r="I879" s="14"/>
      <c r="J879" s="14"/>
      <c r="K879" s="14"/>
      <c r="L879" s="14"/>
      <c r="M879" s="14"/>
      <c r="N879" s="14"/>
      <c r="O879" s="14"/>
      <c r="P879" s="14"/>
      <c r="Q879" s="14"/>
      <c r="R879" s="23"/>
      <c r="S879" s="24"/>
      <c r="T879" s="25"/>
      <c r="U879" s="14"/>
      <c r="V879" s="14"/>
      <c r="W879" s="24"/>
      <c r="X879" s="14"/>
    </row>
    <row r="880">
      <c r="A880" s="14"/>
      <c r="B880" s="22"/>
      <c r="C880" s="14"/>
      <c r="D880" s="14"/>
      <c r="E880" s="14"/>
      <c r="F880" s="14"/>
      <c r="G880" s="14"/>
      <c r="H880" s="14"/>
      <c r="I880" s="14"/>
      <c r="J880" s="14"/>
      <c r="K880" s="14"/>
      <c r="L880" s="14"/>
      <c r="M880" s="14"/>
      <c r="N880" s="14"/>
      <c r="O880" s="14"/>
      <c r="P880" s="14"/>
      <c r="Q880" s="14"/>
      <c r="R880" s="23"/>
      <c r="S880" s="24"/>
      <c r="T880" s="25"/>
      <c r="U880" s="14"/>
      <c r="V880" s="14"/>
      <c r="W880" s="24"/>
      <c r="X880" s="14"/>
    </row>
    <row r="881">
      <c r="A881" s="14"/>
      <c r="B881" s="22"/>
      <c r="C881" s="14"/>
      <c r="D881" s="14"/>
      <c r="E881" s="14"/>
      <c r="F881" s="14"/>
      <c r="G881" s="14"/>
      <c r="H881" s="14"/>
      <c r="I881" s="14"/>
      <c r="J881" s="14"/>
      <c r="K881" s="14"/>
      <c r="L881" s="14"/>
      <c r="M881" s="14"/>
      <c r="N881" s="14"/>
      <c r="O881" s="14"/>
      <c r="P881" s="14"/>
      <c r="Q881" s="14"/>
      <c r="R881" s="23"/>
      <c r="S881" s="24"/>
      <c r="T881" s="25"/>
      <c r="U881" s="14"/>
      <c r="V881" s="14"/>
      <c r="W881" s="24"/>
      <c r="X881" s="14"/>
    </row>
    <row r="882">
      <c r="A882" s="14"/>
      <c r="B882" s="22"/>
      <c r="C882" s="14"/>
      <c r="D882" s="14"/>
      <c r="E882" s="14"/>
      <c r="F882" s="14"/>
      <c r="G882" s="14"/>
      <c r="H882" s="14"/>
      <c r="I882" s="14"/>
      <c r="J882" s="14"/>
      <c r="K882" s="14"/>
      <c r="L882" s="14"/>
      <c r="M882" s="14"/>
      <c r="N882" s="14"/>
      <c r="O882" s="14"/>
      <c r="P882" s="14"/>
      <c r="Q882" s="14"/>
      <c r="R882" s="23"/>
      <c r="S882" s="24"/>
      <c r="T882" s="25"/>
      <c r="U882" s="14"/>
      <c r="V882" s="14"/>
      <c r="W882" s="24"/>
      <c r="X882" s="14"/>
    </row>
    <row r="883">
      <c r="A883" s="14"/>
      <c r="B883" s="22"/>
      <c r="C883" s="14"/>
      <c r="D883" s="14"/>
      <c r="E883" s="14"/>
      <c r="F883" s="14"/>
      <c r="G883" s="14"/>
      <c r="H883" s="14"/>
      <c r="I883" s="14"/>
      <c r="J883" s="14"/>
      <c r="K883" s="14"/>
      <c r="L883" s="14"/>
      <c r="M883" s="14"/>
      <c r="N883" s="14"/>
      <c r="O883" s="14"/>
      <c r="P883" s="14"/>
      <c r="Q883" s="14"/>
      <c r="R883" s="23"/>
      <c r="S883" s="24"/>
      <c r="T883" s="25"/>
      <c r="U883" s="14"/>
      <c r="V883" s="14"/>
      <c r="W883" s="24"/>
      <c r="X883" s="14"/>
    </row>
    <row r="884">
      <c r="A884" s="14"/>
      <c r="B884" s="22"/>
      <c r="C884" s="14"/>
      <c r="D884" s="14"/>
      <c r="E884" s="14"/>
      <c r="F884" s="14"/>
      <c r="G884" s="14"/>
      <c r="H884" s="14"/>
      <c r="I884" s="14"/>
      <c r="J884" s="14"/>
      <c r="K884" s="14"/>
      <c r="L884" s="14"/>
      <c r="M884" s="14"/>
      <c r="N884" s="14"/>
      <c r="O884" s="14"/>
      <c r="P884" s="14"/>
      <c r="Q884" s="14"/>
      <c r="R884" s="23"/>
      <c r="S884" s="24"/>
      <c r="T884" s="25"/>
      <c r="U884" s="14"/>
      <c r="V884" s="14"/>
      <c r="W884" s="24"/>
      <c r="X884" s="14"/>
    </row>
    <row r="885">
      <c r="A885" s="14"/>
      <c r="B885" s="22"/>
      <c r="C885" s="14"/>
      <c r="D885" s="14"/>
      <c r="E885" s="14"/>
      <c r="F885" s="14"/>
      <c r="G885" s="14"/>
      <c r="H885" s="14"/>
      <c r="I885" s="14"/>
      <c r="J885" s="14"/>
      <c r="K885" s="14"/>
      <c r="L885" s="14"/>
      <c r="M885" s="14"/>
      <c r="N885" s="14"/>
      <c r="O885" s="14"/>
      <c r="P885" s="14"/>
      <c r="Q885" s="14"/>
      <c r="R885" s="23"/>
      <c r="S885" s="24"/>
      <c r="T885" s="25"/>
      <c r="U885" s="14"/>
      <c r="V885" s="14"/>
      <c r="W885" s="24"/>
      <c r="X885" s="14"/>
    </row>
    <row r="886">
      <c r="A886" s="14"/>
      <c r="B886" s="22"/>
      <c r="C886" s="14"/>
      <c r="D886" s="14"/>
      <c r="E886" s="14"/>
      <c r="F886" s="14"/>
      <c r="G886" s="14"/>
      <c r="H886" s="14"/>
      <c r="I886" s="14"/>
      <c r="J886" s="14"/>
      <c r="K886" s="14"/>
      <c r="L886" s="14"/>
      <c r="M886" s="14"/>
      <c r="N886" s="14"/>
      <c r="O886" s="14"/>
      <c r="P886" s="14"/>
      <c r="Q886" s="14"/>
      <c r="R886" s="23"/>
      <c r="S886" s="24"/>
      <c r="T886" s="25"/>
      <c r="U886" s="14"/>
      <c r="V886" s="14"/>
      <c r="W886" s="24"/>
      <c r="X886" s="14"/>
    </row>
    <row r="887">
      <c r="A887" s="14"/>
      <c r="B887" s="22"/>
      <c r="C887" s="14"/>
      <c r="D887" s="14"/>
      <c r="E887" s="14"/>
      <c r="F887" s="14"/>
      <c r="G887" s="14"/>
      <c r="H887" s="14"/>
      <c r="I887" s="14"/>
      <c r="J887" s="14"/>
      <c r="K887" s="14"/>
      <c r="L887" s="14"/>
      <c r="M887" s="14"/>
      <c r="N887" s="14"/>
      <c r="O887" s="14"/>
      <c r="P887" s="14"/>
      <c r="Q887" s="14"/>
      <c r="R887" s="23"/>
      <c r="S887" s="24"/>
      <c r="T887" s="25"/>
      <c r="U887" s="14"/>
      <c r="V887" s="14"/>
      <c r="W887" s="24"/>
      <c r="X887" s="14"/>
    </row>
    <row r="888">
      <c r="A888" s="14"/>
      <c r="B888" s="22"/>
      <c r="C888" s="14"/>
      <c r="D888" s="14"/>
      <c r="E888" s="14"/>
      <c r="F888" s="14"/>
      <c r="G888" s="14"/>
      <c r="H888" s="14"/>
      <c r="I888" s="14"/>
      <c r="J888" s="14"/>
      <c r="K888" s="14"/>
      <c r="L888" s="14"/>
      <c r="M888" s="14"/>
      <c r="N888" s="14"/>
      <c r="O888" s="14"/>
      <c r="P888" s="14"/>
      <c r="Q888" s="14"/>
      <c r="R888" s="23"/>
      <c r="S888" s="24"/>
      <c r="T888" s="25"/>
      <c r="U888" s="14"/>
      <c r="V888" s="14"/>
      <c r="W888" s="24"/>
      <c r="X888" s="14"/>
    </row>
    <row r="889">
      <c r="A889" s="14"/>
      <c r="B889" s="22"/>
      <c r="C889" s="14"/>
      <c r="D889" s="14"/>
      <c r="E889" s="14"/>
      <c r="F889" s="14"/>
      <c r="G889" s="14"/>
      <c r="H889" s="14"/>
      <c r="I889" s="14"/>
      <c r="J889" s="14"/>
      <c r="K889" s="14"/>
      <c r="L889" s="14"/>
      <c r="M889" s="14"/>
      <c r="N889" s="14"/>
      <c r="O889" s="14"/>
      <c r="P889" s="14"/>
      <c r="Q889" s="14"/>
      <c r="R889" s="23"/>
      <c r="S889" s="24"/>
      <c r="T889" s="25"/>
      <c r="U889" s="14"/>
      <c r="V889" s="14"/>
      <c r="W889" s="24"/>
      <c r="X889" s="14"/>
    </row>
    <row r="890">
      <c r="A890" s="14"/>
      <c r="B890" s="22"/>
      <c r="C890" s="14"/>
      <c r="D890" s="14"/>
      <c r="E890" s="14"/>
      <c r="F890" s="14"/>
      <c r="G890" s="14"/>
      <c r="H890" s="14"/>
      <c r="I890" s="14"/>
      <c r="J890" s="14"/>
      <c r="K890" s="14"/>
      <c r="L890" s="14"/>
      <c r="M890" s="14"/>
      <c r="N890" s="14"/>
      <c r="O890" s="14"/>
      <c r="P890" s="14"/>
      <c r="Q890" s="14"/>
      <c r="R890" s="23"/>
      <c r="S890" s="24"/>
      <c r="T890" s="25"/>
      <c r="U890" s="14"/>
      <c r="V890" s="14"/>
      <c r="W890" s="24"/>
      <c r="X890" s="14"/>
    </row>
    <row r="891">
      <c r="A891" s="14"/>
      <c r="B891" s="22"/>
      <c r="C891" s="14"/>
      <c r="D891" s="14"/>
      <c r="E891" s="14"/>
      <c r="F891" s="14"/>
      <c r="G891" s="14"/>
      <c r="H891" s="14"/>
      <c r="I891" s="14"/>
      <c r="J891" s="14"/>
      <c r="K891" s="14"/>
      <c r="L891" s="14"/>
      <c r="M891" s="14"/>
      <c r="N891" s="14"/>
      <c r="O891" s="14"/>
      <c r="P891" s="14"/>
      <c r="Q891" s="14"/>
      <c r="R891" s="23"/>
      <c r="S891" s="24"/>
      <c r="T891" s="25"/>
      <c r="U891" s="14"/>
      <c r="V891" s="14"/>
      <c r="W891" s="24"/>
      <c r="X891" s="14"/>
    </row>
    <row r="892">
      <c r="A892" s="14"/>
      <c r="B892" s="22"/>
      <c r="C892" s="14"/>
      <c r="D892" s="14"/>
      <c r="E892" s="14"/>
      <c r="F892" s="14"/>
      <c r="G892" s="14"/>
      <c r="H892" s="14"/>
      <c r="I892" s="14"/>
      <c r="J892" s="14"/>
      <c r="K892" s="14"/>
      <c r="L892" s="14"/>
      <c r="M892" s="14"/>
      <c r="N892" s="14"/>
      <c r="O892" s="14"/>
      <c r="P892" s="14"/>
      <c r="Q892" s="14"/>
      <c r="R892" s="23"/>
      <c r="S892" s="24"/>
      <c r="T892" s="25"/>
      <c r="U892" s="14"/>
      <c r="V892" s="14"/>
      <c r="W892" s="24"/>
      <c r="X892" s="14"/>
    </row>
    <row r="893">
      <c r="A893" s="14"/>
      <c r="B893" s="22"/>
      <c r="C893" s="14"/>
      <c r="D893" s="14"/>
      <c r="E893" s="14"/>
      <c r="F893" s="14"/>
      <c r="G893" s="14"/>
      <c r="H893" s="14"/>
      <c r="I893" s="14"/>
      <c r="J893" s="14"/>
      <c r="K893" s="14"/>
      <c r="L893" s="14"/>
      <c r="M893" s="14"/>
      <c r="N893" s="14"/>
      <c r="O893" s="14"/>
      <c r="P893" s="14"/>
      <c r="Q893" s="14"/>
      <c r="R893" s="23"/>
      <c r="S893" s="24"/>
      <c r="T893" s="25"/>
      <c r="U893" s="14"/>
      <c r="V893" s="14"/>
      <c r="W893" s="24"/>
      <c r="X893" s="14"/>
    </row>
    <row r="894">
      <c r="A894" s="14"/>
      <c r="B894" s="22"/>
      <c r="C894" s="14"/>
      <c r="D894" s="14"/>
      <c r="E894" s="14"/>
      <c r="F894" s="14"/>
      <c r="G894" s="14"/>
      <c r="H894" s="14"/>
      <c r="I894" s="14"/>
      <c r="J894" s="14"/>
      <c r="K894" s="14"/>
      <c r="L894" s="14"/>
      <c r="M894" s="14"/>
      <c r="N894" s="14"/>
      <c r="O894" s="14"/>
      <c r="P894" s="14"/>
      <c r="Q894" s="14"/>
      <c r="R894" s="23"/>
      <c r="S894" s="24"/>
      <c r="T894" s="25"/>
      <c r="U894" s="14"/>
      <c r="V894" s="14"/>
      <c r="W894" s="24"/>
      <c r="X894" s="14"/>
    </row>
    <row r="895">
      <c r="A895" s="14"/>
      <c r="B895" s="22"/>
      <c r="C895" s="14"/>
      <c r="D895" s="14"/>
      <c r="E895" s="14"/>
      <c r="F895" s="14"/>
      <c r="G895" s="14"/>
      <c r="H895" s="14"/>
      <c r="I895" s="14"/>
      <c r="J895" s="14"/>
      <c r="K895" s="14"/>
      <c r="L895" s="14"/>
      <c r="M895" s="14"/>
      <c r="N895" s="14"/>
      <c r="O895" s="14"/>
      <c r="P895" s="14"/>
      <c r="Q895" s="14"/>
      <c r="R895" s="23"/>
      <c r="S895" s="24"/>
      <c r="T895" s="25"/>
      <c r="U895" s="14"/>
      <c r="V895" s="14"/>
      <c r="W895" s="24"/>
      <c r="X895" s="14"/>
    </row>
    <row r="896">
      <c r="A896" s="14"/>
      <c r="B896" s="22"/>
      <c r="C896" s="14"/>
      <c r="D896" s="14"/>
      <c r="E896" s="14"/>
      <c r="F896" s="14"/>
      <c r="G896" s="14"/>
      <c r="H896" s="14"/>
      <c r="I896" s="14"/>
      <c r="J896" s="14"/>
      <c r="K896" s="14"/>
      <c r="L896" s="14"/>
      <c r="M896" s="14"/>
      <c r="N896" s="14"/>
      <c r="O896" s="14"/>
      <c r="P896" s="14"/>
      <c r="Q896" s="14"/>
      <c r="R896" s="23"/>
      <c r="S896" s="24"/>
      <c r="T896" s="25"/>
      <c r="U896" s="14"/>
      <c r="V896" s="14"/>
      <c r="W896" s="24"/>
      <c r="X896" s="14"/>
    </row>
    <row r="897">
      <c r="A897" s="14"/>
      <c r="B897" s="22"/>
      <c r="C897" s="14"/>
      <c r="D897" s="14"/>
      <c r="E897" s="14"/>
      <c r="F897" s="14"/>
      <c r="G897" s="14"/>
      <c r="H897" s="14"/>
      <c r="I897" s="14"/>
      <c r="J897" s="14"/>
      <c r="K897" s="14"/>
      <c r="L897" s="14"/>
      <c r="M897" s="14"/>
      <c r="N897" s="14"/>
      <c r="O897" s="14"/>
      <c r="P897" s="14"/>
      <c r="Q897" s="14"/>
      <c r="R897" s="23"/>
      <c r="S897" s="24"/>
      <c r="T897" s="25"/>
      <c r="U897" s="14"/>
      <c r="V897" s="14"/>
      <c r="W897" s="24"/>
      <c r="X897" s="14"/>
    </row>
    <row r="898">
      <c r="A898" s="14"/>
      <c r="B898" s="22"/>
      <c r="C898" s="14"/>
      <c r="D898" s="14"/>
      <c r="E898" s="14"/>
      <c r="F898" s="14"/>
      <c r="G898" s="14"/>
      <c r="H898" s="14"/>
      <c r="I898" s="14"/>
      <c r="J898" s="14"/>
      <c r="K898" s="14"/>
      <c r="L898" s="14"/>
      <c r="M898" s="14"/>
      <c r="N898" s="14"/>
      <c r="O898" s="14"/>
      <c r="P898" s="14"/>
      <c r="Q898" s="14"/>
      <c r="R898" s="23"/>
      <c r="S898" s="24"/>
      <c r="T898" s="25"/>
      <c r="U898" s="14"/>
      <c r="V898" s="14"/>
      <c r="W898" s="24"/>
      <c r="X898" s="14"/>
    </row>
    <row r="899">
      <c r="A899" s="14"/>
      <c r="B899" s="22"/>
      <c r="C899" s="14"/>
      <c r="D899" s="14"/>
      <c r="E899" s="14"/>
      <c r="F899" s="14"/>
      <c r="G899" s="14"/>
      <c r="H899" s="14"/>
      <c r="I899" s="14"/>
      <c r="J899" s="14"/>
      <c r="K899" s="14"/>
      <c r="L899" s="14"/>
      <c r="M899" s="14"/>
      <c r="N899" s="14"/>
      <c r="O899" s="14"/>
      <c r="P899" s="14"/>
      <c r="Q899" s="14"/>
      <c r="R899" s="23"/>
      <c r="S899" s="24"/>
      <c r="T899" s="25"/>
      <c r="U899" s="14"/>
      <c r="V899" s="14"/>
      <c r="W899" s="24"/>
      <c r="X899" s="14"/>
    </row>
    <row r="900">
      <c r="A900" s="14"/>
      <c r="B900" s="22"/>
      <c r="C900" s="14"/>
      <c r="D900" s="14"/>
      <c r="E900" s="14"/>
      <c r="F900" s="14"/>
      <c r="G900" s="14"/>
      <c r="H900" s="14"/>
      <c r="I900" s="14"/>
      <c r="J900" s="14"/>
      <c r="K900" s="14"/>
      <c r="L900" s="14"/>
      <c r="M900" s="14"/>
      <c r="N900" s="14"/>
      <c r="O900" s="14"/>
      <c r="P900" s="14"/>
      <c r="Q900" s="14"/>
      <c r="R900" s="23"/>
      <c r="S900" s="24"/>
      <c r="T900" s="25"/>
      <c r="U900" s="14"/>
      <c r="V900" s="14"/>
      <c r="W900" s="24"/>
      <c r="X900" s="14"/>
    </row>
    <row r="901">
      <c r="A901" s="14"/>
      <c r="B901" s="22"/>
      <c r="C901" s="14"/>
      <c r="D901" s="14"/>
      <c r="E901" s="14"/>
      <c r="F901" s="14"/>
      <c r="G901" s="14"/>
      <c r="H901" s="14"/>
      <c r="I901" s="14"/>
      <c r="J901" s="14"/>
      <c r="K901" s="14"/>
      <c r="L901" s="14"/>
      <c r="M901" s="14"/>
      <c r="N901" s="14"/>
      <c r="O901" s="14"/>
      <c r="P901" s="14"/>
      <c r="Q901" s="14"/>
      <c r="R901" s="23"/>
      <c r="S901" s="24"/>
      <c r="T901" s="25"/>
      <c r="U901" s="14"/>
      <c r="V901" s="14"/>
      <c r="W901" s="24"/>
      <c r="X901" s="14"/>
    </row>
    <row r="902">
      <c r="A902" s="14"/>
      <c r="B902" s="22"/>
      <c r="C902" s="14"/>
      <c r="D902" s="14"/>
      <c r="E902" s="14"/>
      <c r="F902" s="14"/>
      <c r="G902" s="14"/>
      <c r="H902" s="14"/>
      <c r="I902" s="14"/>
      <c r="J902" s="14"/>
      <c r="K902" s="14"/>
      <c r="L902" s="14"/>
      <c r="M902" s="14"/>
      <c r="N902" s="14"/>
      <c r="O902" s="14"/>
      <c r="P902" s="14"/>
      <c r="Q902" s="14"/>
      <c r="R902" s="23"/>
      <c r="S902" s="24"/>
      <c r="T902" s="25"/>
      <c r="U902" s="14"/>
      <c r="V902" s="14"/>
      <c r="W902" s="24"/>
      <c r="X902" s="14"/>
    </row>
    <row r="903">
      <c r="A903" s="14"/>
      <c r="B903" s="22"/>
      <c r="C903" s="14"/>
      <c r="D903" s="14"/>
      <c r="E903" s="14"/>
      <c r="F903" s="14"/>
      <c r="G903" s="14"/>
      <c r="H903" s="14"/>
      <c r="I903" s="14"/>
      <c r="J903" s="14"/>
      <c r="K903" s="14"/>
      <c r="L903" s="14"/>
      <c r="M903" s="14"/>
      <c r="N903" s="14"/>
      <c r="O903" s="14"/>
      <c r="P903" s="14"/>
      <c r="Q903" s="14"/>
      <c r="R903" s="23"/>
      <c r="S903" s="24"/>
      <c r="T903" s="25"/>
      <c r="U903" s="14"/>
      <c r="V903" s="14"/>
      <c r="W903" s="24"/>
      <c r="X903" s="14"/>
    </row>
    <row r="904">
      <c r="A904" s="14"/>
      <c r="B904" s="22"/>
      <c r="C904" s="14"/>
      <c r="D904" s="14"/>
      <c r="E904" s="14"/>
      <c r="F904" s="14"/>
      <c r="G904" s="14"/>
      <c r="H904" s="14"/>
      <c r="I904" s="14"/>
      <c r="J904" s="14"/>
      <c r="K904" s="14"/>
      <c r="L904" s="14"/>
      <c r="M904" s="14"/>
      <c r="N904" s="14"/>
      <c r="O904" s="14"/>
      <c r="P904" s="14"/>
      <c r="Q904" s="14"/>
      <c r="R904" s="23"/>
      <c r="S904" s="24"/>
      <c r="T904" s="25"/>
      <c r="U904" s="14"/>
      <c r="V904" s="14"/>
      <c r="W904" s="24"/>
      <c r="X904" s="14"/>
    </row>
    <row r="905">
      <c r="A905" s="14"/>
      <c r="B905" s="22"/>
      <c r="C905" s="14"/>
      <c r="D905" s="14"/>
      <c r="E905" s="14"/>
      <c r="F905" s="14"/>
      <c r="G905" s="14"/>
      <c r="H905" s="14"/>
      <c r="I905" s="14"/>
      <c r="J905" s="14"/>
      <c r="K905" s="14"/>
      <c r="L905" s="14"/>
      <c r="M905" s="14"/>
      <c r="N905" s="14"/>
      <c r="O905" s="14"/>
      <c r="P905" s="14"/>
      <c r="Q905" s="14"/>
      <c r="R905" s="23"/>
      <c r="S905" s="24"/>
      <c r="T905" s="25"/>
      <c r="U905" s="14"/>
      <c r="V905" s="14"/>
      <c r="W905" s="24"/>
      <c r="X905" s="14"/>
    </row>
    <row r="906">
      <c r="A906" s="14"/>
      <c r="B906" s="22"/>
      <c r="C906" s="14"/>
      <c r="D906" s="14"/>
      <c r="E906" s="14"/>
      <c r="F906" s="14"/>
      <c r="G906" s="14"/>
      <c r="H906" s="14"/>
      <c r="I906" s="14"/>
      <c r="J906" s="14"/>
      <c r="K906" s="14"/>
      <c r="L906" s="14"/>
      <c r="M906" s="14"/>
      <c r="N906" s="14"/>
      <c r="O906" s="14"/>
      <c r="P906" s="14"/>
      <c r="Q906" s="14"/>
      <c r="R906" s="23"/>
      <c r="S906" s="24"/>
      <c r="T906" s="25"/>
      <c r="U906" s="14"/>
      <c r="V906" s="14"/>
      <c r="W906" s="24"/>
      <c r="X906" s="14"/>
    </row>
    <row r="907">
      <c r="A907" s="14"/>
      <c r="B907" s="22"/>
      <c r="C907" s="14"/>
      <c r="D907" s="14"/>
      <c r="E907" s="14"/>
      <c r="F907" s="14"/>
      <c r="G907" s="14"/>
      <c r="H907" s="14"/>
      <c r="I907" s="14"/>
      <c r="J907" s="14"/>
      <c r="K907" s="14"/>
      <c r="L907" s="14"/>
      <c r="M907" s="14"/>
      <c r="N907" s="14"/>
      <c r="O907" s="14"/>
      <c r="P907" s="14"/>
      <c r="Q907" s="14"/>
      <c r="R907" s="23"/>
      <c r="S907" s="24"/>
      <c r="T907" s="25"/>
      <c r="U907" s="14"/>
      <c r="V907" s="14"/>
      <c r="W907" s="24"/>
      <c r="X907" s="14"/>
    </row>
    <row r="908">
      <c r="A908" s="14"/>
      <c r="B908" s="22"/>
      <c r="C908" s="14"/>
      <c r="D908" s="14"/>
      <c r="E908" s="14"/>
      <c r="F908" s="14"/>
      <c r="G908" s="14"/>
      <c r="H908" s="14"/>
      <c r="I908" s="14"/>
      <c r="J908" s="14"/>
      <c r="K908" s="14"/>
      <c r="L908" s="14"/>
      <c r="M908" s="14"/>
      <c r="N908" s="14"/>
      <c r="O908" s="14"/>
      <c r="P908" s="14"/>
      <c r="Q908" s="14"/>
      <c r="R908" s="23"/>
      <c r="S908" s="24"/>
      <c r="T908" s="25"/>
      <c r="U908" s="14"/>
      <c r="V908" s="14"/>
      <c r="W908" s="24"/>
      <c r="X908" s="14"/>
    </row>
    <row r="909">
      <c r="A909" s="14"/>
      <c r="B909" s="22"/>
      <c r="C909" s="14"/>
      <c r="D909" s="14"/>
      <c r="E909" s="14"/>
      <c r="F909" s="14"/>
      <c r="G909" s="14"/>
      <c r="H909" s="14"/>
      <c r="I909" s="14"/>
      <c r="J909" s="14"/>
      <c r="K909" s="14"/>
      <c r="L909" s="14"/>
      <c r="M909" s="14"/>
      <c r="N909" s="14"/>
      <c r="O909" s="14"/>
      <c r="P909" s="14"/>
      <c r="Q909" s="14"/>
      <c r="R909" s="23"/>
      <c r="S909" s="24"/>
      <c r="T909" s="25"/>
      <c r="U909" s="14"/>
      <c r="V909" s="14"/>
      <c r="W909" s="24"/>
      <c r="X909" s="14"/>
    </row>
    <row r="910">
      <c r="A910" s="14"/>
      <c r="B910" s="22"/>
      <c r="C910" s="14"/>
      <c r="D910" s="14"/>
      <c r="E910" s="14"/>
      <c r="F910" s="14"/>
      <c r="G910" s="14"/>
      <c r="H910" s="14"/>
      <c r="I910" s="14"/>
      <c r="J910" s="14"/>
      <c r="K910" s="14"/>
      <c r="L910" s="14"/>
      <c r="M910" s="14"/>
      <c r="N910" s="14"/>
      <c r="O910" s="14"/>
      <c r="P910" s="14"/>
      <c r="Q910" s="14"/>
      <c r="R910" s="23"/>
      <c r="S910" s="24"/>
      <c r="T910" s="25"/>
      <c r="U910" s="14"/>
      <c r="V910" s="14"/>
      <c r="W910" s="24"/>
      <c r="X910" s="14"/>
    </row>
    <row r="911">
      <c r="A911" s="14"/>
      <c r="B911" s="22"/>
      <c r="C911" s="14"/>
      <c r="D911" s="14"/>
      <c r="E911" s="14"/>
      <c r="F911" s="14"/>
      <c r="G911" s="14"/>
      <c r="H911" s="14"/>
      <c r="I911" s="14"/>
      <c r="J911" s="14"/>
      <c r="K911" s="14"/>
      <c r="L911" s="14"/>
      <c r="M911" s="14"/>
      <c r="N911" s="14"/>
      <c r="O911" s="14"/>
      <c r="P911" s="14"/>
      <c r="Q911" s="14"/>
      <c r="R911" s="23"/>
      <c r="S911" s="24"/>
      <c r="T911" s="25"/>
      <c r="U911" s="14"/>
      <c r="V911" s="14"/>
      <c r="W911" s="24"/>
      <c r="X911" s="14"/>
    </row>
    <row r="912">
      <c r="A912" s="14"/>
      <c r="B912" s="22"/>
      <c r="C912" s="14"/>
      <c r="D912" s="14"/>
      <c r="E912" s="14"/>
      <c r="F912" s="14"/>
      <c r="G912" s="14"/>
      <c r="H912" s="14"/>
      <c r="I912" s="14"/>
      <c r="J912" s="14"/>
      <c r="K912" s="14"/>
      <c r="L912" s="14"/>
      <c r="M912" s="14"/>
      <c r="N912" s="14"/>
      <c r="O912" s="14"/>
      <c r="P912" s="14"/>
      <c r="Q912" s="14"/>
      <c r="R912" s="23"/>
      <c r="S912" s="24"/>
      <c r="T912" s="25"/>
      <c r="U912" s="14"/>
      <c r="V912" s="14"/>
      <c r="W912" s="24"/>
      <c r="X912" s="14"/>
    </row>
    <row r="913">
      <c r="A913" s="14"/>
      <c r="B913" s="22"/>
      <c r="C913" s="14"/>
      <c r="D913" s="14"/>
      <c r="E913" s="14"/>
      <c r="F913" s="14"/>
      <c r="G913" s="14"/>
      <c r="H913" s="14"/>
      <c r="I913" s="14"/>
      <c r="J913" s="14"/>
      <c r="K913" s="14"/>
      <c r="L913" s="14"/>
      <c r="M913" s="14"/>
      <c r="N913" s="14"/>
      <c r="O913" s="14"/>
      <c r="P913" s="14"/>
      <c r="Q913" s="14"/>
      <c r="R913" s="23"/>
      <c r="S913" s="24"/>
      <c r="T913" s="25"/>
      <c r="U913" s="14"/>
      <c r="V913" s="14"/>
      <c r="W913" s="24"/>
      <c r="X913" s="14"/>
    </row>
    <row r="914">
      <c r="A914" s="14"/>
      <c r="B914" s="22"/>
      <c r="C914" s="14"/>
      <c r="D914" s="14"/>
      <c r="E914" s="14"/>
      <c r="F914" s="14"/>
      <c r="G914" s="14"/>
      <c r="H914" s="14"/>
      <c r="I914" s="14"/>
      <c r="J914" s="14"/>
      <c r="K914" s="14"/>
      <c r="L914" s="14"/>
      <c r="M914" s="14"/>
      <c r="N914" s="14"/>
      <c r="O914" s="14"/>
      <c r="P914" s="14"/>
      <c r="Q914" s="14"/>
      <c r="R914" s="23"/>
      <c r="S914" s="24"/>
      <c r="T914" s="25"/>
      <c r="U914" s="14"/>
      <c r="V914" s="14"/>
      <c r="W914" s="24"/>
      <c r="X914" s="14"/>
    </row>
    <row r="915">
      <c r="A915" s="14"/>
      <c r="B915" s="22"/>
      <c r="C915" s="14"/>
      <c r="D915" s="14"/>
      <c r="E915" s="14"/>
      <c r="F915" s="14"/>
      <c r="G915" s="14"/>
      <c r="H915" s="14"/>
      <c r="I915" s="14"/>
      <c r="J915" s="14"/>
      <c r="K915" s="14"/>
      <c r="L915" s="14"/>
      <c r="M915" s="14"/>
      <c r="N915" s="14"/>
      <c r="O915" s="14"/>
      <c r="P915" s="14"/>
      <c r="Q915" s="14"/>
      <c r="R915" s="23"/>
      <c r="S915" s="24"/>
      <c r="T915" s="25"/>
      <c r="U915" s="14"/>
      <c r="V915" s="14"/>
      <c r="W915" s="24"/>
      <c r="X915" s="14"/>
    </row>
    <row r="916">
      <c r="A916" s="14"/>
      <c r="B916" s="22"/>
      <c r="C916" s="14"/>
      <c r="D916" s="14"/>
      <c r="E916" s="14"/>
      <c r="F916" s="14"/>
      <c r="G916" s="14"/>
      <c r="H916" s="14"/>
      <c r="I916" s="14"/>
      <c r="J916" s="14"/>
      <c r="K916" s="14"/>
      <c r="L916" s="14"/>
      <c r="M916" s="14"/>
      <c r="N916" s="14"/>
      <c r="O916" s="14"/>
      <c r="P916" s="14"/>
      <c r="Q916" s="14"/>
      <c r="R916" s="23"/>
      <c r="S916" s="24"/>
      <c r="T916" s="25"/>
      <c r="U916" s="14"/>
      <c r="V916" s="14"/>
      <c r="W916" s="24"/>
      <c r="X916" s="14"/>
    </row>
    <row r="917">
      <c r="A917" s="14"/>
      <c r="B917" s="22"/>
      <c r="C917" s="14"/>
      <c r="D917" s="14"/>
      <c r="E917" s="14"/>
      <c r="F917" s="14"/>
      <c r="G917" s="14"/>
      <c r="H917" s="14"/>
      <c r="I917" s="14"/>
      <c r="J917" s="14"/>
      <c r="K917" s="14"/>
      <c r="L917" s="14"/>
      <c r="M917" s="14"/>
      <c r="N917" s="14"/>
      <c r="O917" s="14"/>
      <c r="P917" s="14"/>
      <c r="Q917" s="14"/>
      <c r="R917" s="23"/>
      <c r="S917" s="24"/>
      <c r="T917" s="25"/>
      <c r="U917" s="14"/>
      <c r="V917" s="14"/>
      <c r="W917" s="24"/>
      <c r="X917" s="14"/>
    </row>
    <row r="918">
      <c r="A918" s="14"/>
      <c r="B918" s="22"/>
      <c r="C918" s="14"/>
      <c r="D918" s="14"/>
      <c r="E918" s="14"/>
      <c r="F918" s="14"/>
      <c r="G918" s="14"/>
      <c r="H918" s="14"/>
      <c r="I918" s="14"/>
      <c r="J918" s="14"/>
      <c r="K918" s="14"/>
      <c r="L918" s="14"/>
      <c r="M918" s="14"/>
      <c r="N918" s="14"/>
      <c r="O918" s="14"/>
      <c r="P918" s="14"/>
      <c r="Q918" s="14"/>
      <c r="R918" s="23"/>
      <c r="S918" s="24"/>
      <c r="T918" s="25"/>
      <c r="U918" s="14"/>
      <c r="V918" s="14"/>
      <c r="W918" s="24"/>
      <c r="X918" s="14"/>
    </row>
    <row r="919">
      <c r="A919" s="14"/>
      <c r="B919" s="22"/>
      <c r="C919" s="14"/>
      <c r="D919" s="14"/>
      <c r="E919" s="14"/>
      <c r="F919" s="14"/>
      <c r="G919" s="14"/>
      <c r="H919" s="14"/>
      <c r="I919" s="14"/>
      <c r="J919" s="14"/>
      <c r="K919" s="14"/>
      <c r="L919" s="14"/>
      <c r="M919" s="14"/>
      <c r="N919" s="14"/>
      <c r="O919" s="14"/>
      <c r="P919" s="14"/>
      <c r="Q919" s="14"/>
      <c r="R919" s="23"/>
      <c r="S919" s="24"/>
      <c r="T919" s="25"/>
      <c r="U919" s="14"/>
      <c r="V919" s="14"/>
      <c r="W919" s="24"/>
      <c r="X919" s="14"/>
    </row>
    <row r="920">
      <c r="A920" s="14"/>
      <c r="B920" s="22"/>
      <c r="C920" s="14"/>
      <c r="D920" s="14"/>
      <c r="E920" s="14"/>
      <c r="F920" s="14"/>
      <c r="G920" s="14"/>
      <c r="H920" s="14"/>
      <c r="I920" s="14"/>
      <c r="J920" s="14"/>
      <c r="K920" s="14"/>
      <c r="L920" s="14"/>
      <c r="M920" s="14"/>
      <c r="N920" s="14"/>
      <c r="O920" s="14"/>
      <c r="P920" s="14"/>
      <c r="Q920" s="14"/>
      <c r="R920" s="23"/>
      <c r="S920" s="24"/>
      <c r="T920" s="25"/>
      <c r="U920" s="14"/>
      <c r="V920" s="14"/>
      <c r="W920" s="24"/>
      <c r="X920" s="14"/>
    </row>
    <row r="921">
      <c r="A921" s="14"/>
      <c r="B921" s="22"/>
      <c r="C921" s="14"/>
      <c r="D921" s="14"/>
      <c r="E921" s="14"/>
      <c r="F921" s="14"/>
      <c r="G921" s="14"/>
      <c r="H921" s="14"/>
      <c r="I921" s="14"/>
      <c r="J921" s="14"/>
      <c r="K921" s="14"/>
      <c r="L921" s="14"/>
      <c r="M921" s="14"/>
      <c r="N921" s="14"/>
      <c r="O921" s="14"/>
      <c r="P921" s="14"/>
      <c r="Q921" s="14"/>
      <c r="R921" s="23"/>
      <c r="S921" s="24"/>
      <c r="T921" s="25"/>
      <c r="U921" s="14"/>
      <c r="V921" s="14"/>
      <c r="W921" s="24"/>
      <c r="X921" s="14"/>
    </row>
    <row r="922">
      <c r="A922" s="14"/>
      <c r="B922" s="22"/>
      <c r="C922" s="14"/>
      <c r="D922" s="14"/>
      <c r="E922" s="14"/>
      <c r="F922" s="14"/>
      <c r="G922" s="14"/>
      <c r="H922" s="14"/>
      <c r="I922" s="14"/>
      <c r="J922" s="14"/>
      <c r="K922" s="14"/>
      <c r="L922" s="14"/>
      <c r="M922" s="14"/>
      <c r="N922" s="14"/>
      <c r="O922" s="14"/>
      <c r="P922" s="14"/>
      <c r="Q922" s="14"/>
      <c r="R922" s="23"/>
      <c r="S922" s="24"/>
      <c r="T922" s="25"/>
      <c r="U922" s="14"/>
      <c r="V922" s="14"/>
      <c r="W922" s="24"/>
      <c r="X922" s="14"/>
    </row>
    <row r="923">
      <c r="A923" s="14"/>
      <c r="B923" s="22"/>
      <c r="C923" s="14"/>
      <c r="D923" s="14"/>
      <c r="E923" s="14"/>
      <c r="F923" s="14"/>
      <c r="G923" s="14"/>
      <c r="H923" s="14"/>
      <c r="I923" s="14"/>
      <c r="J923" s="14"/>
      <c r="K923" s="14"/>
      <c r="L923" s="14"/>
      <c r="M923" s="14"/>
      <c r="N923" s="14"/>
      <c r="O923" s="14"/>
      <c r="P923" s="14"/>
      <c r="Q923" s="14"/>
      <c r="R923" s="23"/>
      <c r="S923" s="24"/>
      <c r="T923" s="25"/>
      <c r="U923" s="14"/>
      <c r="V923" s="14"/>
      <c r="W923" s="24"/>
      <c r="X923" s="14"/>
    </row>
    <row r="924">
      <c r="A924" s="14"/>
      <c r="B924" s="22"/>
      <c r="C924" s="14"/>
      <c r="D924" s="14"/>
      <c r="E924" s="14"/>
      <c r="F924" s="14"/>
      <c r="G924" s="14"/>
      <c r="H924" s="14"/>
      <c r="I924" s="14"/>
      <c r="J924" s="14"/>
      <c r="K924" s="14"/>
      <c r="L924" s="14"/>
      <c r="M924" s="14"/>
      <c r="N924" s="14"/>
      <c r="O924" s="14"/>
      <c r="P924" s="14"/>
      <c r="Q924" s="14"/>
      <c r="R924" s="23"/>
      <c r="S924" s="24"/>
      <c r="T924" s="25"/>
      <c r="U924" s="14"/>
      <c r="V924" s="14"/>
      <c r="W924" s="24"/>
      <c r="X924" s="14"/>
    </row>
    <row r="925">
      <c r="A925" s="14"/>
      <c r="B925" s="22"/>
      <c r="C925" s="14"/>
      <c r="D925" s="14"/>
      <c r="E925" s="14"/>
      <c r="F925" s="14"/>
      <c r="G925" s="14"/>
      <c r="H925" s="14"/>
      <c r="I925" s="14"/>
      <c r="J925" s="14"/>
      <c r="K925" s="14"/>
      <c r="L925" s="14"/>
      <c r="M925" s="14"/>
      <c r="N925" s="14"/>
      <c r="O925" s="14"/>
      <c r="P925" s="14"/>
      <c r="Q925" s="14"/>
      <c r="R925" s="23"/>
      <c r="S925" s="24"/>
      <c r="T925" s="25"/>
      <c r="U925" s="14"/>
      <c r="V925" s="14"/>
      <c r="W925" s="24"/>
      <c r="X925" s="14"/>
    </row>
    <row r="926">
      <c r="A926" s="14"/>
      <c r="B926" s="22"/>
      <c r="C926" s="14"/>
      <c r="D926" s="14"/>
      <c r="E926" s="14"/>
      <c r="F926" s="14"/>
      <c r="G926" s="14"/>
      <c r="H926" s="14"/>
      <c r="I926" s="14"/>
      <c r="J926" s="14"/>
      <c r="K926" s="14"/>
      <c r="L926" s="14"/>
      <c r="M926" s="14"/>
      <c r="N926" s="14"/>
      <c r="O926" s="14"/>
      <c r="P926" s="14"/>
      <c r="Q926" s="14"/>
      <c r="R926" s="23"/>
      <c r="S926" s="24"/>
      <c r="T926" s="25"/>
      <c r="U926" s="14"/>
      <c r="V926" s="14"/>
      <c r="W926" s="24"/>
      <c r="X926" s="14"/>
    </row>
    <row r="927">
      <c r="A927" s="14"/>
      <c r="B927" s="22"/>
      <c r="C927" s="14"/>
      <c r="D927" s="14"/>
      <c r="E927" s="14"/>
      <c r="F927" s="14"/>
      <c r="G927" s="14"/>
      <c r="H927" s="14"/>
      <c r="I927" s="14"/>
      <c r="J927" s="14"/>
      <c r="K927" s="14"/>
      <c r="L927" s="14"/>
      <c r="M927" s="14"/>
      <c r="N927" s="14"/>
      <c r="O927" s="14"/>
      <c r="P927" s="14"/>
      <c r="Q927" s="14"/>
      <c r="R927" s="23"/>
      <c r="S927" s="24"/>
      <c r="T927" s="25"/>
      <c r="U927" s="14"/>
      <c r="V927" s="14"/>
      <c r="W927" s="24"/>
      <c r="X927" s="14"/>
    </row>
    <row r="928">
      <c r="A928" s="14"/>
      <c r="B928" s="22"/>
      <c r="C928" s="14"/>
      <c r="D928" s="14"/>
      <c r="E928" s="14"/>
      <c r="F928" s="14"/>
      <c r="G928" s="14"/>
      <c r="H928" s="14"/>
      <c r="I928" s="14"/>
      <c r="J928" s="14"/>
      <c r="K928" s="14"/>
      <c r="L928" s="14"/>
      <c r="M928" s="14"/>
      <c r="N928" s="14"/>
      <c r="O928" s="14"/>
      <c r="P928" s="14"/>
      <c r="Q928" s="14"/>
      <c r="R928" s="23"/>
      <c r="S928" s="24"/>
      <c r="T928" s="25"/>
      <c r="U928" s="14"/>
      <c r="V928" s="14"/>
      <c r="W928" s="24"/>
      <c r="X928" s="14"/>
    </row>
    <row r="929">
      <c r="A929" s="14"/>
      <c r="B929" s="22"/>
      <c r="C929" s="14"/>
      <c r="D929" s="14"/>
      <c r="E929" s="14"/>
      <c r="F929" s="14"/>
      <c r="G929" s="14"/>
      <c r="H929" s="14"/>
      <c r="I929" s="14"/>
      <c r="J929" s="14"/>
      <c r="K929" s="14"/>
      <c r="L929" s="14"/>
      <c r="M929" s="14"/>
      <c r="N929" s="14"/>
      <c r="O929" s="14"/>
      <c r="P929" s="14"/>
      <c r="Q929" s="14"/>
      <c r="R929" s="23"/>
      <c r="S929" s="24"/>
      <c r="T929" s="25"/>
      <c r="U929" s="14"/>
      <c r="V929" s="14"/>
      <c r="W929" s="24"/>
      <c r="X929" s="14"/>
    </row>
    <row r="930">
      <c r="A930" s="14"/>
      <c r="B930" s="22"/>
      <c r="C930" s="14"/>
      <c r="D930" s="14"/>
      <c r="E930" s="14"/>
      <c r="F930" s="14"/>
      <c r="G930" s="14"/>
      <c r="H930" s="14"/>
      <c r="I930" s="14"/>
      <c r="J930" s="14"/>
      <c r="K930" s="14"/>
      <c r="L930" s="14"/>
      <c r="M930" s="14"/>
      <c r="N930" s="14"/>
      <c r="O930" s="14"/>
      <c r="P930" s="14"/>
      <c r="Q930" s="14"/>
      <c r="R930" s="23"/>
      <c r="S930" s="24"/>
      <c r="T930" s="25"/>
      <c r="U930" s="14"/>
      <c r="V930" s="14"/>
      <c r="W930" s="24"/>
      <c r="X930" s="14"/>
    </row>
    <row r="931">
      <c r="A931" s="14"/>
      <c r="B931" s="22"/>
      <c r="C931" s="14"/>
      <c r="D931" s="14"/>
      <c r="E931" s="14"/>
      <c r="F931" s="14"/>
      <c r="G931" s="14"/>
      <c r="H931" s="14"/>
      <c r="I931" s="14"/>
      <c r="J931" s="14"/>
      <c r="K931" s="14"/>
      <c r="L931" s="14"/>
      <c r="M931" s="14"/>
      <c r="N931" s="14"/>
      <c r="O931" s="14"/>
      <c r="P931" s="14"/>
      <c r="Q931" s="14"/>
      <c r="R931" s="23"/>
      <c r="S931" s="24"/>
      <c r="T931" s="25"/>
      <c r="U931" s="14"/>
      <c r="V931" s="14"/>
      <c r="W931" s="24"/>
      <c r="X931" s="14"/>
    </row>
    <row r="932">
      <c r="A932" s="14"/>
      <c r="B932" s="22"/>
      <c r="C932" s="14"/>
      <c r="D932" s="14"/>
      <c r="E932" s="14"/>
      <c r="F932" s="14"/>
      <c r="G932" s="14"/>
      <c r="H932" s="14"/>
      <c r="I932" s="14"/>
      <c r="J932" s="14"/>
      <c r="K932" s="14"/>
      <c r="L932" s="14"/>
      <c r="M932" s="14"/>
      <c r="N932" s="14"/>
      <c r="O932" s="14"/>
      <c r="P932" s="14"/>
      <c r="Q932" s="14"/>
      <c r="R932" s="23"/>
      <c r="S932" s="24"/>
      <c r="T932" s="25"/>
      <c r="U932" s="14"/>
      <c r="V932" s="14"/>
      <c r="W932" s="24"/>
      <c r="X932" s="14"/>
    </row>
    <row r="933">
      <c r="A933" s="14"/>
      <c r="B933" s="22"/>
      <c r="C933" s="14"/>
      <c r="D933" s="14"/>
      <c r="E933" s="14"/>
      <c r="F933" s="14"/>
      <c r="G933" s="14"/>
      <c r="H933" s="14"/>
      <c r="I933" s="14"/>
      <c r="J933" s="14"/>
      <c r="K933" s="14"/>
      <c r="L933" s="14"/>
      <c r="M933" s="14"/>
      <c r="N933" s="14"/>
      <c r="O933" s="14"/>
      <c r="P933" s="14"/>
      <c r="Q933" s="14"/>
      <c r="R933" s="23"/>
      <c r="S933" s="24"/>
      <c r="T933" s="25"/>
      <c r="U933" s="14"/>
      <c r="V933" s="14"/>
      <c r="W933" s="24"/>
      <c r="X933" s="14"/>
    </row>
    <row r="934">
      <c r="A934" s="14"/>
      <c r="B934" s="22"/>
      <c r="C934" s="14"/>
      <c r="D934" s="14"/>
      <c r="E934" s="14"/>
      <c r="F934" s="14"/>
      <c r="G934" s="14"/>
      <c r="H934" s="14"/>
      <c r="I934" s="14"/>
      <c r="J934" s="14"/>
      <c r="K934" s="14"/>
      <c r="L934" s="14"/>
      <c r="M934" s="14"/>
      <c r="N934" s="14"/>
      <c r="O934" s="14"/>
      <c r="P934" s="14"/>
      <c r="Q934" s="14"/>
      <c r="R934" s="23"/>
      <c r="S934" s="24"/>
      <c r="T934" s="25"/>
      <c r="U934" s="14"/>
      <c r="V934" s="14"/>
      <c r="W934" s="24"/>
      <c r="X934" s="14"/>
    </row>
    <row r="935">
      <c r="A935" s="14"/>
      <c r="B935" s="22"/>
      <c r="C935" s="14"/>
      <c r="D935" s="14"/>
      <c r="E935" s="14"/>
      <c r="F935" s="14"/>
      <c r="G935" s="14"/>
      <c r="H935" s="14"/>
      <c r="I935" s="14"/>
      <c r="J935" s="14"/>
      <c r="K935" s="14"/>
      <c r="L935" s="14"/>
      <c r="M935" s="14"/>
      <c r="N935" s="14"/>
      <c r="O935" s="14"/>
      <c r="P935" s="14"/>
      <c r="Q935" s="14"/>
      <c r="R935" s="23"/>
      <c r="S935" s="24"/>
      <c r="T935" s="25"/>
      <c r="U935" s="14"/>
      <c r="V935" s="14"/>
      <c r="W935" s="24"/>
      <c r="X935" s="14"/>
    </row>
    <row r="936">
      <c r="A936" s="14"/>
      <c r="B936" s="22"/>
      <c r="C936" s="14"/>
      <c r="D936" s="14"/>
      <c r="E936" s="14"/>
      <c r="F936" s="14"/>
      <c r="G936" s="14"/>
      <c r="H936" s="14"/>
      <c r="I936" s="14"/>
      <c r="J936" s="14"/>
      <c r="K936" s="14"/>
      <c r="L936" s="14"/>
      <c r="M936" s="14"/>
      <c r="N936" s="14"/>
      <c r="O936" s="14"/>
      <c r="P936" s="14"/>
      <c r="Q936" s="14"/>
      <c r="R936" s="23"/>
      <c r="S936" s="24"/>
      <c r="T936" s="25"/>
      <c r="U936" s="14"/>
      <c r="V936" s="14"/>
      <c r="W936" s="24"/>
      <c r="X936" s="14"/>
    </row>
    <row r="937">
      <c r="A937" s="14"/>
      <c r="B937" s="22"/>
      <c r="C937" s="14"/>
      <c r="D937" s="14"/>
      <c r="E937" s="14"/>
      <c r="F937" s="14"/>
      <c r="G937" s="14"/>
      <c r="H937" s="14"/>
      <c r="I937" s="14"/>
      <c r="J937" s="14"/>
      <c r="K937" s="14"/>
      <c r="L937" s="14"/>
      <c r="M937" s="14"/>
      <c r="N937" s="14"/>
      <c r="O937" s="14"/>
      <c r="P937" s="14"/>
      <c r="Q937" s="14"/>
      <c r="R937" s="23"/>
      <c r="S937" s="24"/>
      <c r="T937" s="25"/>
      <c r="U937" s="14"/>
      <c r="V937" s="14"/>
      <c r="W937" s="24"/>
      <c r="X937" s="14"/>
    </row>
    <row r="938">
      <c r="A938" s="14"/>
      <c r="B938" s="22"/>
      <c r="C938" s="14"/>
      <c r="D938" s="14"/>
      <c r="E938" s="14"/>
      <c r="F938" s="14"/>
      <c r="G938" s="14"/>
      <c r="H938" s="14"/>
      <c r="I938" s="14"/>
      <c r="J938" s="14"/>
      <c r="K938" s="14"/>
      <c r="L938" s="14"/>
      <c r="M938" s="14"/>
      <c r="N938" s="14"/>
      <c r="O938" s="14"/>
      <c r="P938" s="14"/>
      <c r="Q938" s="14"/>
      <c r="R938" s="23"/>
      <c r="S938" s="24"/>
      <c r="T938" s="25"/>
      <c r="U938" s="14"/>
      <c r="V938" s="14"/>
      <c r="W938" s="24"/>
      <c r="X938" s="14"/>
    </row>
    <row r="939">
      <c r="A939" s="14"/>
      <c r="B939" s="22"/>
      <c r="C939" s="14"/>
      <c r="D939" s="14"/>
      <c r="E939" s="14"/>
      <c r="F939" s="14"/>
      <c r="G939" s="14"/>
      <c r="H939" s="14"/>
      <c r="I939" s="14"/>
      <c r="J939" s="14"/>
      <c r="K939" s="14"/>
      <c r="L939" s="14"/>
      <c r="M939" s="14"/>
      <c r="N939" s="14"/>
      <c r="O939" s="14"/>
      <c r="P939" s="14"/>
      <c r="Q939" s="14"/>
      <c r="R939" s="23"/>
      <c r="S939" s="24"/>
      <c r="T939" s="25"/>
      <c r="U939" s="14"/>
      <c r="V939" s="14"/>
      <c r="W939" s="24"/>
      <c r="X939" s="14"/>
    </row>
    <row r="940">
      <c r="A940" s="14"/>
      <c r="B940" s="22"/>
      <c r="C940" s="14"/>
      <c r="D940" s="14"/>
      <c r="E940" s="14"/>
      <c r="F940" s="14"/>
      <c r="G940" s="14"/>
      <c r="H940" s="14"/>
      <c r="I940" s="14"/>
      <c r="J940" s="14"/>
      <c r="K940" s="14"/>
      <c r="L940" s="14"/>
      <c r="M940" s="14"/>
      <c r="N940" s="14"/>
      <c r="O940" s="14"/>
      <c r="P940" s="14"/>
      <c r="Q940" s="14"/>
      <c r="R940" s="23"/>
      <c r="S940" s="24"/>
      <c r="T940" s="25"/>
      <c r="U940" s="14"/>
      <c r="V940" s="14"/>
      <c r="W940" s="24"/>
      <c r="X940" s="14"/>
    </row>
    <row r="941">
      <c r="A941" s="14"/>
      <c r="B941" s="22"/>
      <c r="C941" s="14"/>
      <c r="D941" s="14"/>
      <c r="E941" s="14"/>
      <c r="F941" s="14"/>
      <c r="G941" s="14"/>
      <c r="H941" s="14"/>
      <c r="I941" s="14"/>
      <c r="J941" s="14"/>
      <c r="K941" s="14"/>
      <c r="L941" s="14"/>
      <c r="M941" s="14"/>
      <c r="N941" s="14"/>
      <c r="O941" s="14"/>
      <c r="P941" s="14"/>
      <c r="Q941" s="14"/>
      <c r="R941" s="23"/>
      <c r="S941" s="24"/>
      <c r="T941" s="25"/>
      <c r="U941" s="14"/>
      <c r="V941" s="14"/>
      <c r="W941" s="24"/>
      <c r="X941" s="14"/>
    </row>
    <row r="942">
      <c r="A942" s="14"/>
      <c r="B942" s="22"/>
      <c r="C942" s="14"/>
      <c r="D942" s="14"/>
      <c r="E942" s="14"/>
      <c r="F942" s="14"/>
      <c r="G942" s="14"/>
      <c r="H942" s="14"/>
      <c r="I942" s="14"/>
      <c r="J942" s="14"/>
      <c r="K942" s="14"/>
      <c r="L942" s="14"/>
      <c r="M942" s="14"/>
      <c r="N942" s="14"/>
      <c r="O942" s="14"/>
      <c r="P942" s="14"/>
      <c r="Q942" s="14"/>
      <c r="R942" s="23"/>
      <c r="S942" s="24"/>
      <c r="T942" s="25"/>
      <c r="U942" s="14"/>
      <c r="V942" s="14"/>
      <c r="W942" s="24"/>
      <c r="X942" s="14"/>
    </row>
    <row r="943">
      <c r="A943" s="14"/>
      <c r="B943" s="22"/>
      <c r="C943" s="14"/>
      <c r="D943" s="14"/>
      <c r="E943" s="14"/>
      <c r="F943" s="14"/>
      <c r="G943" s="14"/>
      <c r="H943" s="14"/>
      <c r="I943" s="14"/>
      <c r="J943" s="14"/>
      <c r="K943" s="14"/>
      <c r="L943" s="14"/>
      <c r="M943" s="14"/>
      <c r="N943" s="14"/>
      <c r="O943" s="14"/>
      <c r="P943" s="14"/>
      <c r="Q943" s="14"/>
      <c r="R943" s="23"/>
      <c r="S943" s="24"/>
      <c r="T943" s="25"/>
      <c r="U943" s="14"/>
      <c r="V943" s="14"/>
      <c r="W943" s="24"/>
      <c r="X943" s="14"/>
    </row>
    <row r="944">
      <c r="A944" s="14"/>
      <c r="B944" s="22"/>
      <c r="C944" s="14"/>
      <c r="D944" s="14"/>
      <c r="E944" s="14"/>
      <c r="F944" s="14"/>
      <c r="G944" s="14"/>
      <c r="H944" s="14"/>
      <c r="I944" s="14"/>
      <c r="J944" s="14"/>
      <c r="K944" s="14"/>
      <c r="L944" s="14"/>
      <c r="M944" s="14"/>
      <c r="N944" s="14"/>
      <c r="O944" s="14"/>
      <c r="P944" s="14"/>
      <c r="Q944" s="14"/>
      <c r="R944" s="23"/>
      <c r="S944" s="24"/>
      <c r="T944" s="25"/>
      <c r="U944" s="14"/>
      <c r="V944" s="14"/>
      <c r="W944" s="24"/>
      <c r="X944" s="14"/>
    </row>
    <row r="945">
      <c r="A945" s="14"/>
      <c r="B945" s="22"/>
      <c r="C945" s="14"/>
      <c r="D945" s="14"/>
      <c r="E945" s="14"/>
      <c r="F945" s="14"/>
      <c r="G945" s="14"/>
      <c r="H945" s="14"/>
      <c r="I945" s="14"/>
      <c r="J945" s="14"/>
      <c r="K945" s="14"/>
      <c r="L945" s="14"/>
      <c r="M945" s="14"/>
      <c r="N945" s="14"/>
      <c r="O945" s="14"/>
      <c r="P945" s="14"/>
      <c r="Q945" s="14"/>
      <c r="R945" s="23"/>
      <c r="S945" s="24"/>
      <c r="T945" s="25"/>
      <c r="U945" s="14"/>
      <c r="V945" s="14"/>
      <c r="W945" s="24"/>
      <c r="X945" s="14"/>
    </row>
    <row r="946">
      <c r="A946" s="14"/>
      <c r="B946" s="22"/>
      <c r="C946" s="14"/>
      <c r="D946" s="14"/>
      <c r="E946" s="14"/>
      <c r="F946" s="14"/>
      <c r="G946" s="14"/>
      <c r="H946" s="14"/>
      <c r="I946" s="14"/>
      <c r="J946" s="14"/>
      <c r="K946" s="14"/>
      <c r="L946" s="14"/>
      <c r="M946" s="14"/>
      <c r="N946" s="14"/>
      <c r="O946" s="14"/>
      <c r="P946" s="14"/>
      <c r="Q946" s="14"/>
      <c r="R946" s="23"/>
      <c r="S946" s="24"/>
      <c r="T946" s="25"/>
      <c r="U946" s="14"/>
      <c r="V946" s="14"/>
      <c r="W946" s="24"/>
      <c r="X946" s="14"/>
    </row>
    <row r="947">
      <c r="A947" s="14"/>
      <c r="B947" s="22"/>
      <c r="C947" s="14"/>
      <c r="D947" s="14"/>
      <c r="E947" s="14"/>
      <c r="F947" s="14"/>
      <c r="G947" s="14"/>
      <c r="H947" s="14"/>
      <c r="I947" s="14"/>
      <c r="J947" s="14"/>
      <c r="K947" s="14"/>
      <c r="L947" s="14"/>
      <c r="M947" s="14"/>
      <c r="N947" s="14"/>
      <c r="O947" s="14"/>
      <c r="P947" s="14"/>
      <c r="Q947" s="14"/>
      <c r="R947" s="23"/>
      <c r="S947" s="24"/>
      <c r="T947" s="25"/>
      <c r="U947" s="14"/>
      <c r="V947" s="14"/>
      <c r="W947" s="24"/>
      <c r="X947" s="14"/>
    </row>
    <row r="948">
      <c r="A948" s="14"/>
      <c r="B948" s="22"/>
      <c r="C948" s="14"/>
      <c r="D948" s="14"/>
      <c r="E948" s="14"/>
      <c r="F948" s="14"/>
      <c r="G948" s="14"/>
      <c r="H948" s="14"/>
      <c r="I948" s="14"/>
      <c r="J948" s="14"/>
      <c r="K948" s="14"/>
      <c r="L948" s="14"/>
      <c r="M948" s="14"/>
      <c r="N948" s="14"/>
      <c r="O948" s="14"/>
      <c r="P948" s="14"/>
      <c r="Q948" s="14"/>
      <c r="R948" s="23"/>
      <c r="S948" s="24"/>
      <c r="T948" s="25"/>
      <c r="U948" s="14"/>
      <c r="V948" s="14"/>
      <c r="W948" s="24"/>
      <c r="X948" s="14"/>
    </row>
    <row r="949">
      <c r="A949" s="14"/>
      <c r="B949" s="22"/>
      <c r="C949" s="14"/>
      <c r="D949" s="14"/>
      <c r="E949" s="14"/>
      <c r="F949" s="14"/>
      <c r="G949" s="14"/>
      <c r="H949" s="14"/>
      <c r="I949" s="14"/>
      <c r="J949" s="14"/>
      <c r="K949" s="14"/>
      <c r="L949" s="14"/>
      <c r="M949" s="14"/>
      <c r="N949" s="14"/>
      <c r="O949" s="14"/>
      <c r="P949" s="14"/>
      <c r="Q949" s="14"/>
      <c r="R949" s="23"/>
      <c r="S949" s="24"/>
      <c r="T949" s="25"/>
      <c r="U949" s="14"/>
      <c r="V949" s="14"/>
      <c r="W949" s="24"/>
      <c r="X949" s="14"/>
    </row>
    <row r="950">
      <c r="A950" s="14"/>
      <c r="B950" s="22"/>
      <c r="C950" s="14"/>
      <c r="D950" s="14"/>
      <c r="E950" s="14"/>
      <c r="F950" s="14"/>
      <c r="G950" s="14"/>
      <c r="H950" s="14"/>
      <c r="I950" s="14"/>
      <c r="J950" s="14"/>
      <c r="K950" s="14"/>
      <c r="L950" s="14"/>
      <c r="M950" s="14"/>
      <c r="N950" s="14"/>
      <c r="O950" s="14"/>
      <c r="P950" s="14"/>
      <c r="Q950" s="14"/>
      <c r="R950" s="23"/>
      <c r="S950" s="24"/>
      <c r="T950" s="25"/>
      <c r="U950" s="14"/>
      <c r="V950" s="14"/>
      <c r="W950" s="24"/>
      <c r="X950" s="14"/>
    </row>
    <row r="951">
      <c r="A951" s="14"/>
      <c r="B951" s="22"/>
      <c r="C951" s="14"/>
      <c r="D951" s="14"/>
      <c r="E951" s="14"/>
      <c r="F951" s="14"/>
      <c r="G951" s="14"/>
      <c r="H951" s="14"/>
      <c r="I951" s="14"/>
      <c r="J951" s="14"/>
      <c r="K951" s="14"/>
      <c r="L951" s="14"/>
      <c r="M951" s="14"/>
      <c r="N951" s="14"/>
      <c r="O951" s="14"/>
      <c r="P951" s="14"/>
      <c r="Q951" s="14"/>
      <c r="R951" s="23"/>
      <c r="S951" s="24"/>
      <c r="T951" s="25"/>
      <c r="U951" s="14"/>
      <c r="V951" s="14"/>
      <c r="W951" s="24"/>
      <c r="X951" s="14"/>
    </row>
    <row r="952">
      <c r="A952" s="14"/>
      <c r="B952" s="22"/>
      <c r="C952" s="14"/>
      <c r="D952" s="14"/>
      <c r="E952" s="14"/>
      <c r="F952" s="14"/>
      <c r="G952" s="14"/>
      <c r="H952" s="14"/>
      <c r="I952" s="14"/>
      <c r="J952" s="14"/>
      <c r="K952" s="14"/>
      <c r="L952" s="14"/>
      <c r="M952" s="14"/>
      <c r="N952" s="14"/>
      <c r="O952" s="14"/>
      <c r="P952" s="14"/>
      <c r="Q952" s="14"/>
      <c r="R952" s="23"/>
      <c r="S952" s="24"/>
      <c r="T952" s="25"/>
      <c r="U952" s="14"/>
      <c r="V952" s="14"/>
      <c r="W952" s="24"/>
      <c r="X952" s="14"/>
    </row>
    <row r="953">
      <c r="A953" s="14"/>
      <c r="B953" s="22"/>
      <c r="C953" s="14"/>
      <c r="D953" s="14"/>
      <c r="E953" s="14"/>
      <c r="F953" s="14"/>
      <c r="G953" s="14"/>
      <c r="H953" s="14"/>
      <c r="I953" s="14"/>
      <c r="J953" s="14"/>
      <c r="K953" s="14"/>
      <c r="L953" s="14"/>
      <c r="M953" s="14"/>
      <c r="N953" s="14"/>
      <c r="O953" s="14"/>
      <c r="P953" s="14"/>
      <c r="Q953" s="14"/>
      <c r="R953" s="23"/>
      <c r="S953" s="24"/>
      <c r="T953" s="25"/>
      <c r="U953" s="14"/>
      <c r="V953" s="14"/>
      <c r="W953" s="24"/>
      <c r="X953" s="14"/>
    </row>
    <row r="954">
      <c r="A954" s="14"/>
      <c r="B954" s="22"/>
      <c r="C954" s="14"/>
      <c r="D954" s="14"/>
      <c r="E954" s="14"/>
      <c r="F954" s="14"/>
      <c r="G954" s="14"/>
      <c r="H954" s="14"/>
      <c r="I954" s="14"/>
      <c r="J954" s="14"/>
      <c r="K954" s="14"/>
      <c r="L954" s="14"/>
      <c r="M954" s="14"/>
      <c r="N954" s="14"/>
      <c r="O954" s="14"/>
      <c r="P954" s="14"/>
      <c r="Q954" s="14"/>
      <c r="R954" s="23"/>
      <c r="S954" s="24"/>
      <c r="T954" s="25"/>
      <c r="U954" s="14"/>
      <c r="V954" s="14"/>
      <c r="W954" s="24"/>
      <c r="X954" s="14"/>
    </row>
    <row r="955">
      <c r="A955" s="14"/>
      <c r="B955" s="22"/>
      <c r="C955" s="14"/>
      <c r="D955" s="14"/>
      <c r="E955" s="14"/>
      <c r="F955" s="14"/>
      <c r="G955" s="14"/>
      <c r="H955" s="14"/>
      <c r="I955" s="14"/>
      <c r="J955" s="14"/>
      <c r="K955" s="14"/>
      <c r="L955" s="14"/>
      <c r="M955" s="14"/>
      <c r="N955" s="14"/>
      <c r="O955" s="14"/>
      <c r="P955" s="14"/>
      <c r="Q955" s="14"/>
      <c r="R955" s="23"/>
      <c r="S955" s="24"/>
      <c r="T955" s="25"/>
      <c r="U955" s="14"/>
      <c r="V955" s="14"/>
      <c r="W955" s="24"/>
      <c r="X955" s="14"/>
    </row>
    <row r="956">
      <c r="A956" s="14"/>
      <c r="B956" s="22"/>
      <c r="C956" s="14"/>
      <c r="D956" s="14"/>
      <c r="E956" s="14"/>
      <c r="F956" s="14"/>
      <c r="G956" s="14"/>
      <c r="H956" s="14"/>
      <c r="I956" s="14"/>
      <c r="J956" s="14"/>
      <c r="K956" s="14"/>
      <c r="L956" s="14"/>
      <c r="M956" s="14"/>
      <c r="N956" s="14"/>
      <c r="O956" s="14"/>
      <c r="P956" s="14"/>
      <c r="Q956" s="14"/>
      <c r="R956" s="23"/>
      <c r="S956" s="24"/>
      <c r="T956" s="25"/>
      <c r="U956" s="14"/>
      <c r="V956" s="14"/>
      <c r="W956" s="24"/>
      <c r="X956" s="14"/>
    </row>
    <row r="957">
      <c r="A957" s="14"/>
      <c r="B957" s="22"/>
      <c r="C957" s="14"/>
      <c r="D957" s="14"/>
      <c r="E957" s="14"/>
      <c r="F957" s="14"/>
      <c r="G957" s="14"/>
      <c r="H957" s="14"/>
      <c r="I957" s="14"/>
      <c r="J957" s="14"/>
      <c r="K957" s="14"/>
      <c r="L957" s="14"/>
      <c r="M957" s="14"/>
      <c r="N957" s="14"/>
      <c r="O957" s="14"/>
      <c r="P957" s="14"/>
      <c r="Q957" s="14"/>
      <c r="R957" s="23"/>
      <c r="S957" s="24"/>
      <c r="T957" s="25"/>
      <c r="U957" s="14"/>
      <c r="V957" s="14"/>
      <c r="W957" s="24"/>
      <c r="X957" s="14"/>
    </row>
    <row r="958">
      <c r="A958" s="14"/>
      <c r="B958" s="22"/>
      <c r="C958" s="14"/>
      <c r="D958" s="14"/>
      <c r="E958" s="14"/>
      <c r="F958" s="14"/>
      <c r="G958" s="14"/>
      <c r="H958" s="14"/>
      <c r="I958" s="14"/>
      <c r="J958" s="14"/>
      <c r="K958" s="14"/>
      <c r="L958" s="14"/>
      <c r="M958" s="14"/>
      <c r="N958" s="14"/>
      <c r="O958" s="14"/>
      <c r="P958" s="14"/>
      <c r="Q958" s="14"/>
      <c r="R958" s="23"/>
      <c r="S958" s="24"/>
      <c r="T958" s="25"/>
      <c r="U958" s="14"/>
      <c r="V958" s="14"/>
      <c r="W958" s="24"/>
      <c r="X958" s="14"/>
    </row>
    <row r="959">
      <c r="A959" s="14"/>
      <c r="B959" s="22"/>
      <c r="C959" s="14"/>
      <c r="D959" s="14"/>
      <c r="E959" s="14"/>
      <c r="F959" s="14"/>
      <c r="G959" s="14"/>
      <c r="H959" s="14"/>
      <c r="I959" s="14"/>
      <c r="J959" s="14"/>
      <c r="K959" s="14"/>
      <c r="L959" s="14"/>
      <c r="M959" s="14"/>
      <c r="N959" s="14"/>
      <c r="O959" s="14"/>
      <c r="P959" s="14"/>
      <c r="Q959" s="14"/>
      <c r="R959" s="23"/>
      <c r="S959" s="24"/>
      <c r="T959" s="25"/>
      <c r="U959" s="14"/>
      <c r="V959" s="14"/>
      <c r="W959" s="24"/>
      <c r="X959" s="14"/>
    </row>
    <row r="960">
      <c r="A960" s="14"/>
      <c r="B960" s="22"/>
      <c r="C960" s="14"/>
      <c r="D960" s="14"/>
      <c r="E960" s="14"/>
      <c r="F960" s="14"/>
      <c r="G960" s="14"/>
      <c r="H960" s="14"/>
      <c r="I960" s="14"/>
      <c r="J960" s="14"/>
      <c r="K960" s="14"/>
      <c r="L960" s="14"/>
      <c r="M960" s="14"/>
      <c r="N960" s="14"/>
      <c r="O960" s="14"/>
      <c r="P960" s="14"/>
      <c r="Q960" s="14"/>
      <c r="R960" s="23"/>
      <c r="S960" s="24"/>
      <c r="T960" s="25"/>
      <c r="U960" s="14"/>
      <c r="V960" s="14"/>
      <c r="W960" s="24"/>
      <c r="X960" s="14"/>
    </row>
    <row r="961">
      <c r="A961" s="14"/>
      <c r="B961" s="22"/>
      <c r="C961" s="14"/>
      <c r="D961" s="14"/>
      <c r="E961" s="14"/>
      <c r="F961" s="14"/>
      <c r="G961" s="14"/>
      <c r="H961" s="14"/>
      <c r="I961" s="14"/>
      <c r="J961" s="14"/>
      <c r="K961" s="14"/>
      <c r="L961" s="14"/>
      <c r="M961" s="14"/>
      <c r="N961" s="14"/>
      <c r="O961" s="14"/>
      <c r="P961" s="14"/>
      <c r="Q961" s="14"/>
      <c r="R961" s="23"/>
      <c r="S961" s="24"/>
      <c r="T961" s="25"/>
      <c r="U961" s="14"/>
      <c r="V961" s="14"/>
      <c r="W961" s="24"/>
      <c r="X961" s="14"/>
    </row>
    <row r="962">
      <c r="A962" s="14"/>
      <c r="B962" s="22"/>
      <c r="C962" s="14"/>
      <c r="D962" s="14"/>
      <c r="E962" s="14"/>
      <c r="F962" s="14"/>
      <c r="G962" s="14"/>
      <c r="H962" s="14"/>
      <c r="I962" s="14"/>
      <c r="J962" s="14"/>
      <c r="K962" s="14"/>
      <c r="L962" s="14"/>
      <c r="M962" s="14"/>
      <c r="N962" s="14"/>
      <c r="O962" s="14"/>
      <c r="P962" s="14"/>
      <c r="Q962" s="14"/>
      <c r="R962" s="23"/>
      <c r="S962" s="24"/>
      <c r="T962" s="25"/>
      <c r="U962" s="14"/>
      <c r="V962" s="14"/>
      <c r="W962" s="24"/>
      <c r="X962" s="14"/>
    </row>
    <row r="963">
      <c r="A963" s="14"/>
      <c r="B963" s="22"/>
      <c r="C963" s="14"/>
      <c r="D963" s="14"/>
      <c r="E963" s="14"/>
      <c r="F963" s="14"/>
      <c r="G963" s="14"/>
      <c r="H963" s="14"/>
      <c r="I963" s="14"/>
      <c r="J963" s="14"/>
      <c r="K963" s="14"/>
      <c r="L963" s="14"/>
      <c r="M963" s="14"/>
      <c r="N963" s="14"/>
      <c r="O963" s="14"/>
      <c r="P963" s="14"/>
      <c r="Q963" s="14"/>
      <c r="R963" s="23"/>
      <c r="S963" s="24"/>
      <c r="T963" s="25"/>
      <c r="U963" s="14"/>
      <c r="V963" s="14"/>
      <c r="W963" s="24"/>
      <c r="X963" s="14"/>
    </row>
    <row r="964">
      <c r="A964" s="14"/>
      <c r="B964" s="22"/>
      <c r="C964" s="14"/>
      <c r="D964" s="14"/>
      <c r="E964" s="14"/>
      <c r="F964" s="14"/>
      <c r="G964" s="14"/>
      <c r="H964" s="14"/>
      <c r="I964" s="14"/>
      <c r="J964" s="14"/>
      <c r="K964" s="14"/>
      <c r="L964" s="14"/>
      <c r="M964" s="14"/>
      <c r="N964" s="14"/>
      <c r="O964" s="14"/>
      <c r="P964" s="14"/>
      <c r="Q964" s="14"/>
      <c r="R964" s="23"/>
      <c r="S964" s="24"/>
      <c r="T964" s="25"/>
      <c r="U964" s="14"/>
      <c r="V964" s="14"/>
      <c r="W964" s="24"/>
      <c r="X964" s="14"/>
    </row>
    <row r="965">
      <c r="A965" s="14"/>
      <c r="B965" s="22"/>
      <c r="C965" s="14"/>
      <c r="D965" s="14"/>
      <c r="E965" s="14"/>
      <c r="F965" s="14"/>
      <c r="G965" s="14"/>
      <c r="H965" s="14"/>
      <c r="I965" s="14"/>
      <c r="J965" s="14"/>
      <c r="K965" s="14"/>
      <c r="L965" s="14"/>
      <c r="M965" s="14"/>
      <c r="N965" s="14"/>
      <c r="O965" s="14"/>
      <c r="P965" s="14"/>
      <c r="Q965" s="14"/>
      <c r="R965" s="23"/>
      <c r="S965" s="24"/>
      <c r="T965" s="25"/>
      <c r="U965" s="14"/>
      <c r="V965" s="14"/>
      <c r="W965" s="24"/>
      <c r="X965" s="14"/>
    </row>
    <row r="966">
      <c r="A966" s="14"/>
      <c r="B966" s="22"/>
      <c r="C966" s="14"/>
      <c r="D966" s="14"/>
      <c r="E966" s="14"/>
      <c r="F966" s="14"/>
      <c r="G966" s="14"/>
      <c r="H966" s="14"/>
      <c r="I966" s="14"/>
      <c r="J966" s="14"/>
      <c r="K966" s="14"/>
      <c r="L966" s="14"/>
      <c r="M966" s="14"/>
      <c r="N966" s="14"/>
      <c r="O966" s="14"/>
      <c r="P966" s="14"/>
      <c r="Q966" s="14"/>
      <c r="R966" s="23"/>
      <c r="S966" s="24"/>
      <c r="T966" s="25"/>
      <c r="U966" s="14"/>
      <c r="V966" s="14"/>
      <c r="W966" s="24"/>
      <c r="X966" s="14"/>
    </row>
    <row r="967">
      <c r="A967" s="14"/>
      <c r="B967" s="22"/>
      <c r="C967" s="14"/>
      <c r="D967" s="14"/>
      <c r="E967" s="14"/>
      <c r="F967" s="14"/>
      <c r="G967" s="14"/>
      <c r="H967" s="14"/>
      <c r="I967" s="14"/>
      <c r="J967" s="14"/>
      <c r="K967" s="14"/>
      <c r="L967" s="14"/>
      <c r="M967" s="14"/>
      <c r="N967" s="14"/>
      <c r="O967" s="14"/>
      <c r="P967" s="14"/>
      <c r="Q967" s="14"/>
      <c r="R967" s="23"/>
      <c r="S967" s="24"/>
      <c r="T967" s="25"/>
      <c r="U967" s="14"/>
      <c r="V967" s="14"/>
      <c r="W967" s="24"/>
      <c r="X967" s="14"/>
    </row>
    <row r="968">
      <c r="A968" s="14"/>
      <c r="B968" s="22"/>
      <c r="C968" s="14"/>
      <c r="D968" s="14"/>
      <c r="E968" s="14"/>
      <c r="F968" s="14"/>
      <c r="G968" s="14"/>
      <c r="H968" s="14"/>
      <c r="I968" s="14"/>
      <c r="J968" s="14"/>
      <c r="K968" s="14"/>
      <c r="L968" s="14"/>
      <c r="M968" s="14"/>
      <c r="N968" s="14"/>
      <c r="O968" s="14"/>
      <c r="P968" s="14"/>
      <c r="Q968" s="14"/>
      <c r="R968" s="23"/>
      <c r="S968" s="24"/>
      <c r="T968" s="25"/>
      <c r="U968" s="14"/>
      <c r="V968" s="14"/>
      <c r="W968" s="24"/>
      <c r="X968" s="14"/>
    </row>
    <row r="969">
      <c r="A969" s="14"/>
      <c r="B969" s="22"/>
      <c r="C969" s="14"/>
      <c r="D969" s="14"/>
      <c r="E969" s="14"/>
      <c r="F969" s="14"/>
      <c r="G969" s="14"/>
      <c r="H969" s="14"/>
      <c r="I969" s="14"/>
      <c r="J969" s="14"/>
      <c r="K969" s="14"/>
      <c r="L969" s="14"/>
      <c r="M969" s="14"/>
      <c r="N969" s="14"/>
      <c r="O969" s="14"/>
      <c r="P969" s="14"/>
      <c r="Q969" s="14"/>
      <c r="R969" s="23"/>
      <c r="S969" s="24"/>
      <c r="T969" s="25"/>
      <c r="U969" s="14"/>
      <c r="V969" s="14"/>
      <c r="W969" s="24"/>
      <c r="X969" s="14"/>
    </row>
    <row r="970">
      <c r="A970" s="14"/>
      <c r="B970" s="22"/>
      <c r="C970" s="14"/>
      <c r="D970" s="14"/>
      <c r="E970" s="14"/>
      <c r="F970" s="14"/>
      <c r="G970" s="14"/>
      <c r="H970" s="14"/>
      <c r="I970" s="14"/>
      <c r="J970" s="14"/>
      <c r="K970" s="14"/>
      <c r="L970" s="14"/>
      <c r="M970" s="14"/>
      <c r="N970" s="14"/>
      <c r="O970" s="14"/>
      <c r="P970" s="14"/>
      <c r="Q970" s="14"/>
      <c r="R970" s="23"/>
      <c r="S970" s="24"/>
      <c r="T970" s="25"/>
      <c r="U970" s="14"/>
      <c r="V970" s="14"/>
      <c r="W970" s="24"/>
      <c r="X970" s="14"/>
    </row>
    <row r="971">
      <c r="A971" s="14"/>
      <c r="B971" s="22"/>
      <c r="C971" s="14"/>
      <c r="D971" s="14"/>
      <c r="E971" s="14"/>
      <c r="F971" s="14"/>
      <c r="G971" s="14"/>
      <c r="H971" s="14"/>
      <c r="I971" s="14"/>
      <c r="J971" s="14"/>
      <c r="K971" s="14"/>
      <c r="L971" s="14"/>
      <c r="M971" s="14"/>
      <c r="N971" s="14"/>
      <c r="O971" s="14"/>
      <c r="P971" s="14"/>
      <c r="Q971" s="14"/>
      <c r="R971" s="23"/>
      <c r="S971" s="24"/>
      <c r="T971" s="25"/>
      <c r="U971" s="14"/>
      <c r="V971" s="14"/>
      <c r="W971" s="24"/>
      <c r="X971" s="14"/>
    </row>
    <row r="972">
      <c r="A972" s="14"/>
      <c r="B972" s="22"/>
      <c r="C972" s="14"/>
      <c r="D972" s="14"/>
      <c r="E972" s="14"/>
      <c r="F972" s="14"/>
      <c r="G972" s="14"/>
      <c r="H972" s="14"/>
      <c r="I972" s="14"/>
      <c r="J972" s="14"/>
      <c r="K972" s="14"/>
      <c r="L972" s="14"/>
      <c r="M972" s="14"/>
      <c r="N972" s="14"/>
      <c r="O972" s="14"/>
      <c r="P972" s="14"/>
      <c r="Q972" s="14"/>
      <c r="R972" s="23"/>
      <c r="S972" s="24"/>
      <c r="T972" s="25"/>
      <c r="U972" s="14"/>
      <c r="V972" s="14"/>
      <c r="W972" s="24"/>
      <c r="X972" s="14"/>
    </row>
    <row r="973">
      <c r="A973" s="14"/>
      <c r="B973" s="22"/>
      <c r="C973" s="14"/>
      <c r="D973" s="14"/>
      <c r="E973" s="14"/>
      <c r="F973" s="14"/>
      <c r="G973" s="14"/>
      <c r="H973" s="14"/>
      <c r="I973" s="14"/>
      <c r="J973" s="14"/>
      <c r="K973" s="14"/>
      <c r="L973" s="14"/>
      <c r="M973" s="14"/>
      <c r="N973" s="14"/>
      <c r="O973" s="14"/>
      <c r="P973" s="14"/>
      <c r="Q973" s="14"/>
      <c r="R973" s="23"/>
      <c r="S973" s="24"/>
      <c r="T973" s="25"/>
      <c r="U973" s="14"/>
      <c r="V973" s="14"/>
      <c r="W973" s="24"/>
      <c r="X973" s="14"/>
    </row>
    <row r="974">
      <c r="A974" s="14"/>
      <c r="B974" s="22"/>
      <c r="C974" s="14"/>
      <c r="D974" s="14"/>
      <c r="E974" s="14"/>
      <c r="F974" s="14"/>
      <c r="G974" s="14"/>
      <c r="H974" s="14"/>
      <c r="I974" s="14"/>
      <c r="J974" s="14"/>
      <c r="K974" s="14"/>
      <c r="L974" s="14"/>
      <c r="M974" s="14"/>
      <c r="N974" s="14"/>
      <c r="O974" s="14"/>
      <c r="P974" s="14"/>
      <c r="Q974" s="14"/>
      <c r="R974" s="23"/>
      <c r="S974" s="24"/>
      <c r="T974" s="25"/>
      <c r="U974" s="14"/>
      <c r="V974" s="14"/>
      <c r="W974" s="24"/>
      <c r="X974" s="14"/>
    </row>
    <row r="975">
      <c r="A975" s="14"/>
      <c r="B975" s="22"/>
      <c r="C975" s="14"/>
      <c r="D975" s="14"/>
      <c r="E975" s="14"/>
      <c r="F975" s="14"/>
      <c r="G975" s="14"/>
      <c r="H975" s="14"/>
      <c r="I975" s="14"/>
      <c r="J975" s="14"/>
      <c r="K975" s="14"/>
      <c r="L975" s="14"/>
      <c r="M975" s="14"/>
      <c r="N975" s="14"/>
      <c r="O975" s="14"/>
      <c r="P975" s="14"/>
      <c r="Q975" s="14"/>
      <c r="R975" s="23"/>
      <c r="S975" s="24"/>
      <c r="T975" s="25"/>
      <c r="U975" s="14"/>
      <c r="V975" s="14"/>
      <c r="W975" s="24"/>
      <c r="X975" s="14"/>
    </row>
    <row r="976">
      <c r="A976" s="14"/>
      <c r="B976" s="22"/>
      <c r="C976" s="14"/>
      <c r="D976" s="14"/>
      <c r="E976" s="14"/>
      <c r="F976" s="14"/>
      <c r="G976" s="14"/>
      <c r="H976" s="14"/>
      <c r="I976" s="14"/>
      <c r="J976" s="14"/>
      <c r="K976" s="14"/>
      <c r="L976" s="14"/>
      <c r="M976" s="14"/>
      <c r="N976" s="14"/>
      <c r="O976" s="14"/>
      <c r="P976" s="14"/>
      <c r="Q976" s="14"/>
      <c r="R976" s="23"/>
      <c r="S976" s="24"/>
      <c r="T976" s="25"/>
      <c r="U976" s="14"/>
      <c r="V976" s="14"/>
      <c r="W976" s="24"/>
      <c r="X976" s="14"/>
    </row>
    <row r="977">
      <c r="A977" s="14"/>
      <c r="B977" s="22"/>
      <c r="C977" s="14"/>
      <c r="D977" s="14"/>
      <c r="E977" s="14"/>
      <c r="F977" s="14"/>
      <c r="G977" s="14"/>
      <c r="H977" s="14"/>
      <c r="I977" s="14"/>
      <c r="J977" s="14"/>
      <c r="K977" s="14"/>
      <c r="L977" s="14"/>
      <c r="M977" s="14"/>
      <c r="N977" s="14"/>
      <c r="O977" s="14"/>
      <c r="P977" s="14"/>
      <c r="Q977" s="14"/>
      <c r="R977" s="23"/>
      <c r="S977" s="24"/>
      <c r="T977" s="25"/>
      <c r="U977" s="14"/>
      <c r="V977" s="14"/>
      <c r="W977" s="24"/>
      <c r="X977" s="14"/>
    </row>
    <row r="978">
      <c r="A978" s="14"/>
      <c r="B978" s="22"/>
      <c r="C978" s="14"/>
      <c r="D978" s="14"/>
      <c r="E978" s="14"/>
      <c r="F978" s="14"/>
      <c r="G978" s="14"/>
      <c r="H978" s="14"/>
      <c r="I978" s="14"/>
      <c r="J978" s="14"/>
      <c r="K978" s="14"/>
      <c r="L978" s="14"/>
      <c r="M978" s="14"/>
      <c r="N978" s="14"/>
      <c r="O978" s="14"/>
      <c r="P978" s="14"/>
      <c r="Q978" s="14"/>
      <c r="R978" s="23"/>
      <c r="S978" s="24"/>
      <c r="T978" s="25"/>
      <c r="U978" s="14"/>
      <c r="V978" s="14"/>
      <c r="W978" s="24"/>
      <c r="X978" s="14"/>
    </row>
    <row r="979">
      <c r="A979" s="14"/>
      <c r="B979" s="22"/>
      <c r="C979" s="14"/>
      <c r="D979" s="14"/>
      <c r="E979" s="14"/>
      <c r="F979" s="14"/>
      <c r="G979" s="14"/>
      <c r="H979" s="14"/>
      <c r="I979" s="14"/>
      <c r="J979" s="14"/>
      <c r="K979" s="14"/>
      <c r="L979" s="14"/>
      <c r="M979" s="14"/>
      <c r="N979" s="14"/>
      <c r="O979" s="14"/>
      <c r="P979" s="14"/>
      <c r="Q979" s="14"/>
      <c r="R979" s="23"/>
      <c r="S979" s="24"/>
      <c r="T979" s="25"/>
      <c r="U979" s="14"/>
      <c r="V979" s="14"/>
      <c r="W979" s="24"/>
      <c r="X979" s="14"/>
    </row>
    <row r="980">
      <c r="A980" s="14"/>
      <c r="B980" s="22"/>
      <c r="C980" s="14"/>
      <c r="D980" s="14"/>
      <c r="E980" s="14"/>
      <c r="F980" s="14"/>
      <c r="G980" s="14"/>
      <c r="H980" s="14"/>
      <c r="I980" s="14"/>
      <c r="J980" s="14"/>
      <c r="K980" s="14"/>
      <c r="L980" s="14"/>
      <c r="M980" s="14"/>
      <c r="N980" s="14"/>
      <c r="O980" s="14"/>
      <c r="P980" s="14"/>
      <c r="Q980" s="14"/>
      <c r="R980" s="23"/>
      <c r="S980" s="24"/>
      <c r="T980" s="25"/>
      <c r="U980" s="14"/>
      <c r="V980" s="14"/>
      <c r="W980" s="24"/>
      <c r="X980" s="14"/>
    </row>
    <row r="981">
      <c r="A981" s="14"/>
      <c r="B981" s="22"/>
      <c r="C981" s="14"/>
      <c r="D981" s="14"/>
      <c r="E981" s="14"/>
      <c r="F981" s="14"/>
      <c r="G981" s="14"/>
      <c r="H981" s="14"/>
      <c r="I981" s="14"/>
      <c r="J981" s="14"/>
      <c r="K981" s="14"/>
      <c r="L981" s="14"/>
      <c r="M981" s="14"/>
      <c r="N981" s="14"/>
      <c r="O981" s="14"/>
      <c r="P981" s="14"/>
      <c r="Q981" s="14"/>
      <c r="R981" s="23"/>
      <c r="S981" s="24"/>
      <c r="T981" s="25"/>
      <c r="U981" s="14"/>
      <c r="V981" s="14"/>
      <c r="W981" s="24"/>
      <c r="X981" s="14"/>
    </row>
    <row r="982">
      <c r="A982" s="14"/>
      <c r="B982" s="22"/>
      <c r="C982" s="14"/>
      <c r="D982" s="14"/>
      <c r="E982" s="14"/>
      <c r="F982" s="14"/>
      <c r="G982" s="14"/>
      <c r="H982" s="14"/>
      <c r="I982" s="14"/>
      <c r="J982" s="14"/>
      <c r="K982" s="14"/>
      <c r="L982" s="14"/>
      <c r="M982" s="14"/>
      <c r="N982" s="14"/>
      <c r="O982" s="14"/>
      <c r="P982" s="14"/>
      <c r="Q982" s="14"/>
      <c r="R982" s="23"/>
      <c r="S982" s="24"/>
      <c r="T982" s="25"/>
      <c r="U982" s="14"/>
      <c r="V982" s="14"/>
      <c r="W982" s="24"/>
      <c r="X982" s="14"/>
    </row>
    <row r="983">
      <c r="A983" s="14"/>
      <c r="B983" s="22"/>
      <c r="C983" s="14"/>
      <c r="D983" s="14"/>
      <c r="E983" s="14"/>
      <c r="F983" s="14"/>
      <c r="G983" s="14"/>
      <c r="H983" s="14"/>
      <c r="I983" s="14"/>
      <c r="J983" s="14"/>
      <c r="K983" s="14"/>
      <c r="L983" s="14"/>
      <c r="M983" s="14"/>
      <c r="N983" s="14"/>
      <c r="O983" s="14"/>
      <c r="P983" s="14"/>
      <c r="Q983" s="14"/>
      <c r="R983" s="23"/>
      <c r="S983" s="24"/>
      <c r="T983" s="25"/>
      <c r="U983" s="14"/>
      <c r="V983" s="14"/>
      <c r="W983" s="24"/>
      <c r="X983" s="14"/>
    </row>
    <row r="984">
      <c r="A984" s="14"/>
      <c r="B984" s="22"/>
      <c r="C984" s="14"/>
      <c r="D984" s="14"/>
      <c r="E984" s="14"/>
      <c r="F984" s="14"/>
      <c r="G984" s="14"/>
      <c r="H984" s="14"/>
      <c r="I984" s="14"/>
      <c r="J984" s="14"/>
      <c r="K984" s="14"/>
      <c r="L984" s="14"/>
      <c r="M984" s="14"/>
      <c r="N984" s="14"/>
      <c r="O984" s="14"/>
      <c r="P984" s="14"/>
      <c r="Q984" s="14"/>
      <c r="R984" s="23"/>
      <c r="S984" s="24"/>
      <c r="T984" s="25"/>
      <c r="U984" s="14"/>
      <c r="V984" s="14"/>
      <c r="W984" s="24"/>
      <c r="X984" s="14"/>
    </row>
    <row r="985">
      <c r="A985" s="14"/>
      <c r="B985" s="22"/>
      <c r="C985" s="14"/>
      <c r="D985" s="14"/>
      <c r="E985" s="14"/>
      <c r="F985" s="14"/>
      <c r="G985" s="14"/>
      <c r="H985" s="14"/>
      <c r="I985" s="14"/>
      <c r="J985" s="14"/>
      <c r="K985" s="14"/>
      <c r="L985" s="14"/>
      <c r="M985" s="14"/>
      <c r="N985" s="14"/>
      <c r="O985" s="14"/>
      <c r="P985" s="14"/>
      <c r="Q985" s="14"/>
      <c r="R985" s="23"/>
      <c r="S985" s="24"/>
      <c r="T985" s="25"/>
      <c r="U985" s="14"/>
      <c r="V985" s="14"/>
      <c r="W985" s="24"/>
      <c r="X985" s="14"/>
    </row>
    <row r="986">
      <c r="A986" s="14"/>
      <c r="B986" s="22"/>
      <c r="C986" s="14"/>
      <c r="D986" s="14"/>
      <c r="E986" s="14"/>
      <c r="F986" s="14"/>
      <c r="G986" s="14"/>
      <c r="H986" s="14"/>
      <c r="I986" s="14"/>
      <c r="J986" s="14"/>
      <c r="K986" s="14"/>
      <c r="L986" s="14"/>
      <c r="M986" s="14"/>
      <c r="N986" s="14"/>
      <c r="O986" s="14"/>
      <c r="P986" s="14"/>
      <c r="Q986" s="14"/>
      <c r="R986" s="23"/>
      <c r="S986" s="24"/>
      <c r="T986" s="25"/>
      <c r="U986" s="14"/>
      <c r="V986" s="14"/>
      <c r="W986" s="24"/>
      <c r="X986" s="14"/>
    </row>
    <row r="987">
      <c r="A987" s="14"/>
      <c r="B987" s="22"/>
      <c r="C987" s="14"/>
      <c r="D987" s="14"/>
      <c r="E987" s="14"/>
      <c r="F987" s="14"/>
      <c r="G987" s="14"/>
      <c r="H987" s="14"/>
      <c r="I987" s="14"/>
      <c r="J987" s="14"/>
      <c r="K987" s="14"/>
      <c r="L987" s="14"/>
      <c r="M987" s="14"/>
      <c r="N987" s="14"/>
      <c r="O987" s="14"/>
      <c r="P987" s="14"/>
      <c r="Q987" s="14"/>
      <c r="R987" s="23"/>
      <c r="S987" s="24"/>
      <c r="T987" s="25"/>
      <c r="U987" s="14"/>
      <c r="V987" s="14"/>
      <c r="W987" s="24"/>
      <c r="X987" s="14"/>
    </row>
    <row r="988">
      <c r="A988" s="14"/>
      <c r="B988" s="22"/>
      <c r="C988" s="14"/>
      <c r="D988" s="14"/>
      <c r="E988" s="14"/>
      <c r="F988" s="14"/>
      <c r="G988" s="14"/>
      <c r="H988" s="14"/>
      <c r="I988" s="14"/>
      <c r="J988" s="14"/>
      <c r="K988" s="14"/>
      <c r="L988" s="14"/>
      <c r="M988" s="14"/>
      <c r="N988" s="14"/>
      <c r="O988" s="14"/>
      <c r="P988" s="14"/>
      <c r="Q988" s="14"/>
      <c r="R988" s="23"/>
      <c r="S988" s="24"/>
      <c r="T988" s="25"/>
      <c r="U988" s="14"/>
      <c r="V988" s="14"/>
      <c r="W988" s="24"/>
      <c r="X988" s="14"/>
    </row>
    <row r="989">
      <c r="A989" s="14"/>
      <c r="B989" s="22"/>
      <c r="C989" s="14"/>
      <c r="D989" s="14"/>
      <c r="E989" s="14"/>
      <c r="F989" s="14"/>
      <c r="G989" s="14"/>
      <c r="H989" s="14"/>
      <c r="I989" s="14"/>
      <c r="J989" s="14"/>
      <c r="K989" s="14"/>
      <c r="L989" s="14"/>
      <c r="M989" s="14"/>
      <c r="N989" s="14"/>
      <c r="O989" s="14"/>
      <c r="P989" s="14"/>
      <c r="Q989" s="14"/>
      <c r="R989" s="23"/>
      <c r="S989" s="24"/>
      <c r="T989" s="25"/>
      <c r="U989" s="14"/>
      <c r="V989" s="14"/>
      <c r="W989" s="24"/>
      <c r="X989" s="14"/>
    </row>
    <row r="990">
      <c r="A990" s="14"/>
      <c r="B990" s="22"/>
      <c r="C990" s="14"/>
      <c r="D990" s="14"/>
      <c r="E990" s="14"/>
      <c r="F990" s="14"/>
      <c r="G990" s="14"/>
      <c r="H990" s="14"/>
      <c r="I990" s="14"/>
      <c r="J990" s="14"/>
      <c r="K990" s="14"/>
      <c r="L990" s="14"/>
      <c r="M990" s="14"/>
      <c r="N990" s="14"/>
      <c r="O990" s="14"/>
      <c r="P990" s="14"/>
      <c r="Q990" s="14"/>
      <c r="R990" s="23"/>
      <c r="S990" s="24"/>
      <c r="T990" s="25"/>
      <c r="U990" s="14"/>
      <c r="V990" s="14"/>
      <c r="W990" s="24"/>
      <c r="X990" s="14"/>
    </row>
    <row r="991">
      <c r="A991" s="14"/>
      <c r="B991" s="22"/>
      <c r="C991" s="14"/>
      <c r="D991" s="14"/>
      <c r="E991" s="14"/>
      <c r="F991" s="14"/>
      <c r="G991" s="14"/>
      <c r="H991" s="14"/>
      <c r="I991" s="14"/>
      <c r="J991" s="14"/>
      <c r="K991" s="14"/>
      <c r="L991" s="14"/>
      <c r="M991" s="14"/>
      <c r="N991" s="14"/>
      <c r="O991" s="14"/>
      <c r="P991" s="14"/>
      <c r="Q991" s="14"/>
      <c r="R991" s="23"/>
      <c r="S991" s="24"/>
      <c r="T991" s="25"/>
      <c r="U991" s="14"/>
      <c r="V991" s="14"/>
      <c r="W991" s="24"/>
      <c r="X991" s="14"/>
    </row>
    <row r="992">
      <c r="A992" s="14"/>
      <c r="B992" s="22"/>
      <c r="C992" s="14"/>
      <c r="D992" s="14"/>
      <c r="E992" s="14"/>
      <c r="F992" s="14"/>
      <c r="G992" s="14"/>
      <c r="H992" s="14"/>
      <c r="I992" s="14"/>
      <c r="J992" s="14"/>
      <c r="K992" s="14"/>
      <c r="L992" s="14"/>
      <c r="M992" s="14"/>
      <c r="N992" s="14"/>
      <c r="O992" s="14"/>
      <c r="P992" s="14"/>
      <c r="Q992" s="14"/>
      <c r="R992" s="23"/>
      <c r="S992" s="24"/>
      <c r="T992" s="25"/>
      <c r="U992" s="14"/>
      <c r="V992" s="14"/>
      <c r="W992" s="24"/>
      <c r="X992" s="14"/>
    </row>
    <row r="993">
      <c r="A993" s="14"/>
      <c r="B993" s="22"/>
      <c r="C993" s="14"/>
      <c r="D993" s="14"/>
      <c r="E993" s="14"/>
      <c r="F993" s="14"/>
      <c r="G993" s="14"/>
      <c r="H993" s="14"/>
      <c r="I993" s="14"/>
      <c r="J993" s="14"/>
      <c r="K993" s="14"/>
      <c r="L993" s="14"/>
      <c r="M993" s="14"/>
      <c r="N993" s="14"/>
      <c r="O993" s="14"/>
      <c r="P993" s="14"/>
      <c r="Q993" s="14"/>
      <c r="R993" s="23"/>
      <c r="S993" s="24"/>
      <c r="T993" s="25"/>
      <c r="U993" s="14"/>
      <c r="V993" s="14"/>
      <c r="W993" s="24"/>
      <c r="X993" s="14"/>
    </row>
    <row r="994">
      <c r="A994" s="14"/>
      <c r="B994" s="22"/>
      <c r="C994" s="14"/>
      <c r="D994" s="14"/>
      <c r="E994" s="14"/>
      <c r="F994" s="14"/>
      <c r="G994" s="14"/>
      <c r="H994" s="14"/>
      <c r="I994" s="14"/>
      <c r="J994" s="14"/>
      <c r="K994" s="14"/>
      <c r="L994" s="14"/>
      <c r="M994" s="14"/>
      <c r="N994" s="14"/>
      <c r="O994" s="14"/>
      <c r="P994" s="14"/>
      <c r="Q994" s="14"/>
      <c r="R994" s="23"/>
      <c r="S994" s="24"/>
      <c r="T994" s="25"/>
      <c r="U994" s="14"/>
      <c r="V994" s="14"/>
      <c r="W994" s="24"/>
      <c r="X994" s="14"/>
    </row>
    <row r="995">
      <c r="A995" s="14"/>
      <c r="B995" s="22"/>
      <c r="C995" s="14"/>
      <c r="D995" s="14"/>
      <c r="E995" s="14"/>
      <c r="F995" s="14"/>
      <c r="G995" s="14"/>
      <c r="H995" s="14"/>
      <c r="I995" s="14"/>
      <c r="J995" s="14"/>
      <c r="K995" s="14"/>
      <c r="L995" s="14"/>
      <c r="M995" s="14"/>
      <c r="N995" s="14"/>
      <c r="O995" s="14"/>
      <c r="P995" s="14"/>
      <c r="Q995" s="14"/>
      <c r="R995" s="23"/>
      <c r="S995" s="24"/>
      <c r="T995" s="25"/>
      <c r="U995" s="14"/>
      <c r="V995" s="14"/>
      <c r="W995" s="24"/>
      <c r="X995" s="14"/>
    </row>
    <row r="996">
      <c r="A996" s="14"/>
      <c r="B996" s="22"/>
      <c r="C996" s="14"/>
      <c r="D996" s="14"/>
      <c r="E996" s="14"/>
      <c r="F996" s="14"/>
      <c r="G996" s="14"/>
      <c r="H996" s="14"/>
      <c r="I996" s="14"/>
      <c r="J996" s="14"/>
      <c r="K996" s="14"/>
      <c r="L996" s="14"/>
      <c r="M996" s="14"/>
      <c r="N996" s="14"/>
      <c r="O996" s="14"/>
      <c r="P996" s="14"/>
      <c r="Q996" s="14"/>
      <c r="R996" s="23"/>
      <c r="S996" s="24"/>
      <c r="T996" s="25"/>
      <c r="U996" s="14"/>
      <c r="V996" s="14"/>
      <c r="W996" s="24"/>
      <c r="X996" s="14"/>
    </row>
    <row r="997">
      <c r="A997" s="14"/>
      <c r="B997" s="22"/>
      <c r="C997" s="14"/>
      <c r="D997" s="14"/>
      <c r="E997" s="14"/>
      <c r="F997" s="14"/>
      <c r="G997" s="14"/>
      <c r="H997" s="14"/>
      <c r="I997" s="14"/>
      <c r="J997" s="14"/>
      <c r="K997" s="14"/>
      <c r="L997" s="14"/>
      <c r="M997" s="14"/>
      <c r="N997" s="14"/>
      <c r="O997" s="14"/>
      <c r="P997" s="14"/>
      <c r="Q997" s="14"/>
      <c r="R997" s="23"/>
      <c r="S997" s="24"/>
      <c r="T997" s="25"/>
      <c r="U997" s="14"/>
      <c r="V997" s="14"/>
      <c r="W997" s="24"/>
      <c r="X997" s="14"/>
    </row>
    <row r="998">
      <c r="A998" s="14"/>
      <c r="B998" s="22"/>
      <c r="C998" s="14"/>
      <c r="D998" s="14"/>
      <c r="E998" s="14"/>
      <c r="F998" s="14"/>
      <c r="G998" s="14"/>
      <c r="H998" s="14"/>
      <c r="I998" s="14"/>
      <c r="J998" s="14"/>
      <c r="K998" s="14"/>
      <c r="L998" s="14"/>
      <c r="M998" s="14"/>
      <c r="N998" s="14"/>
      <c r="O998" s="14"/>
      <c r="P998" s="14"/>
      <c r="Q998" s="14"/>
      <c r="R998" s="23"/>
      <c r="S998" s="24"/>
      <c r="T998" s="25"/>
      <c r="U998" s="14"/>
      <c r="V998" s="14"/>
      <c r="W998" s="24"/>
      <c r="X998" s="14"/>
    </row>
    <row r="999">
      <c r="A999" s="14"/>
      <c r="B999" s="22"/>
      <c r="C999" s="14"/>
      <c r="D999" s="14"/>
      <c r="E999" s="14"/>
      <c r="F999" s="14"/>
      <c r="G999" s="14"/>
      <c r="H999" s="14"/>
      <c r="I999" s="14"/>
      <c r="J999" s="14"/>
      <c r="K999" s="14"/>
      <c r="L999" s="14"/>
      <c r="M999" s="14"/>
      <c r="N999" s="14"/>
      <c r="O999" s="14"/>
      <c r="P999" s="14"/>
      <c r="Q999" s="14"/>
      <c r="R999" s="23"/>
      <c r="S999" s="24"/>
      <c r="T999" s="25"/>
      <c r="U999" s="14"/>
      <c r="V999" s="14"/>
      <c r="W999" s="24"/>
      <c r="X999" s="14"/>
    </row>
    <row r="1000">
      <c r="A1000" s="14"/>
      <c r="B1000" s="22"/>
      <c r="C1000" s="14"/>
      <c r="D1000" s="14"/>
      <c r="E1000" s="14"/>
      <c r="F1000" s="14"/>
      <c r="G1000" s="14"/>
      <c r="H1000" s="14"/>
      <c r="I1000" s="14"/>
      <c r="J1000" s="14"/>
      <c r="K1000" s="14"/>
      <c r="L1000" s="14"/>
      <c r="M1000" s="14"/>
      <c r="N1000" s="14"/>
      <c r="O1000" s="14"/>
      <c r="P1000" s="14"/>
      <c r="Q1000" s="14"/>
      <c r="R1000" s="23"/>
      <c r="S1000" s="24"/>
      <c r="T1000" s="25"/>
      <c r="U1000" s="14"/>
      <c r="V1000" s="14"/>
      <c r="W1000" s="24"/>
      <c r="X1000" s="14"/>
    </row>
    <row r="1001">
      <c r="A1001" s="14"/>
      <c r="B1001" s="22"/>
      <c r="C1001" s="14"/>
      <c r="D1001" s="14"/>
      <c r="E1001" s="14"/>
      <c r="F1001" s="14"/>
      <c r="G1001" s="14"/>
      <c r="H1001" s="14"/>
      <c r="I1001" s="14"/>
      <c r="J1001" s="14"/>
      <c r="K1001" s="14"/>
      <c r="L1001" s="14"/>
      <c r="M1001" s="14"/>
      <c r="N1001" s="14"/>
      <c r="O1001" s="14"/>
      <c r="P1001" s="14"/>
      <c r="Q1001" s="14"/>
      <c r="R1001" s="23"/>
      <c r="S1001" s="24"/>
      <c r="T1001" s="25"/>
      <c r="U1001" s="14"/>
      <c r="V1001" s="14"/>
      <c r="W1001" s="24"/>
      <c r="X1001" s="14"/>
    </row>
    <row r="1002">
      <c r="A1002" s="14"/>
      <c r="B1002" s="22"/>
      <c r="C1002" s="14"/>
      <c r="D1002" s="14"/>
      <c r="E1002" s="14"/>
      <c r="F1002" s="14"/>
      <c r="G1002" s="14"/>
      <c r="H1002" s="14"/>
      <c r="I1002" s="14"/>
      <c r="J1002" s="14"/>
      <c r="K1002" s="14"/>
      <c r="L1002" s="14"/>
      <c r="M1002" s="14"/>
      <c r="N1002" s="14"/>
      <c r="O1002" s="14"/>
      <c r="P1002" s="14"/>
      <c r="Q1002" s="14"/>
      <c r="R1002" s="23"/>
      <c r="S1002" s="24"/>
      <c r="T1002" s="25"/>
      <c r="U1002" s="14"/>
      <c r="V1002" s="14"/>
      <c r="W1002" s="24"/>
      <c r="X1002" s="14"/>
    </row>
    <row r="1003">
      <c r="A1003" s="14"/>
      <c r="B1003" s="22"/>
      <c r="C1003" s="14"/>
      <c r="D1003" s="14"/>
      <c r="E1003" s="14"/>
      <c r="F1003" s="14"/>
      <c r="G1003" s="14"/>
      <c r="H1003" s="14"/>
      <c r="I1003" s="14"/>
      <c r="J1003" s="14"/>
      <c r="K1003" s="14"/>
      <c r="L1003" s="14"/>
      <c r="M1003" s="14"/>
      <c r="N1003" s="14"/>
      <c r="O1003" s="14"/>
      <c r="P1003" s="14"/>
      <c r="Q1003" s="14"/>
      <c r="R1003" s="23"/>
      <c r="S1003" s="24"/>
      <c r="T1003" s="25"/>
      <c r="U1003" s="14"/>
      <c r="V1003" s="14"/>
      <c r="W1003" s="24"/>
      <c r="X1003" s="14"/>
    </row>
    <row r="1004">
      <c r="A1004" s="14"/>
      <c r="B1004" s="22"/>
      <c r="C1004" s="14"/>
      <c r="D1004" s="14"/>
      <c r="E1004" s="14"/>
      <c r="F1004" s="14"/>
      <c r="G1004" s="14"/>
      <c r="H1004" s="14"/>
      <c r="I1004" s="14"/>
      <c r="J1004" s="14"/>
      <c r="K1004" s="14"/>
      <c r="L1004" s="14"/>
      <c r="M1004" s="14"/>
      <c r="N1004" s="14"/>
      <c r="O1004" s="14"/>
      <c r="P1004" s="14"/>
      <c r="Q1004" s="14"/>
      <c r="R1004" s="23"/>
      <c r="S1004" s="24"/>
      <c r="T1004" s="25"/>
      <c r="U1004" s="14"/>
      <c r="V1004" s="14"/>
      <c r="W1004" s="24"/>
      <c r="X1004" s="14"/>
    </row>
    <row r="1005">
      <c r="A1005" s="14"/>
      <c r="B1005" s="22"/>
      <c r="C1005" s="14"/>
      <c r="D1005" s="14"/>
      <c r="E1005" s="14"/>
      <c r="F1005" s="14"/>
      <c r="G1005" s="14"/>
      <c r="H1005" s="14"/>
      <c r="I1005" s="14"/>
      <c r="J1005" s="14"/>
      <c r="K1005" s="14"/>
      <c r="L1005" s="14"/>
      <c r="M1005" s="14"/>
      <c r="N1005" s="14"/>
      <c r="O1005" s="14"/>
      <c r="P1005" s="14"/>
      <c r="Q1005" s="14"/>
      <c r="R1005" s="23"/>
      <c r="S1005" s="24"/>
      <c r="T1005" s="25"/>
      <c r="U1005" s="14"/>
      <c r="V1005" s="14"/>
      <c r="W1005" s="24"/>
      <c r="X1005" s="14"/>
    </row>
    <row r="1006">
      <c r="A1006" s="14"/>
      <c r="B1006" s="22"/>
      <c r="C1006" s="14"/>
      <c r="D1006" s="14"/>
      <c r="E1006" s="14"/>
      <c r="F1006" s="14"/>
      <c r="G1006" s="14"/>
      <c r="H1006" s="14"/>
      <c r="I1006" s="14"/>
      <c r="J1006" s="14"/>
      <c r="K1006" s="14"/>
      <c r="L1006" s="14"/>
      <c r="M1006" s="14"/>
      <c r="N1006" s="14"/>
      <c r="O1006" s="14"/>
      <c r="P1006" s="14"/>
      <c r="Q1006" s="14"/>
      <c r="R1006" s="23"/>
      <c r="S1006" s="24"/>
      <c r="T1006" s="25"/>
      <c r="U1006" s="14"/>
      <c r="V1006" s="14"/>
      <c r="W1006" s="24"/>
      <c r="X1006" s="14"/>
    </row>
    <row r="1007">
      <c r="A1007" s="14"/>
      <c r="B1007" s="22"/>
      <c r="C1007" s="14"/>
      <c r="D1007" s="14"/>
      <c r="E1007" s="14"/>
      <c r="F1007" s="14"/>
      <c r="G1007" s="14"/>
      <c r="H1007" s="14"/>
      <c r="I1007" s="14"/>
      <c r="J1007" s="14"/>
      <c r="K1007" s="14"/>
      <c r="L1007" s="14"/>
      <c r="M1007" s="14"/>
      <c r="N1007" s="14"/>
      <c r="O1007" s="14"/>
      <c r="P1007" s="14"/>
      <c r="Q1007" s="14"/>
      <c r="R1007" s="23"/>
      <c r="S1007" s="24"/>
      <c r="T1007" s="25"/>
      <c r="U1007" s="14"/>
      <c r="V1007" s="14"/>
      <c r="W1007" s="24"/>
      <c r="X1007" s="14"/>
    </row>
    <row r="1008">
      <c r="A1008" s="14"/>
      <c r="B1008" s="22"/>
      <c r="C1008" s="14"/>
      <c r="D1008" s="14"/>
      <c r="E1008" s="14"/>
      <c r="F1008" s="14"/>
      <c r="G1008" s="14"/>
      <c r="H1008" s="14"/>
      <c r="I1008" s="14"/>
      <c r="J1008" s="14"/>
      <c r="K1008" s="14"/>
      <c r="L1008" s="14"/>
      <c r="M1008" s="14"/>
      <c r="N1008" s="14"/>
      <c r="O1008" s="14"/>
      <c r="P1008" s="14"/>
      <c r="Q1008" s="14"/>
      <c r="R1008" s="23"/>
      <c r="S1008" s="24"/>
      <c r="T1008" s="25"/>
      <c r="U1008" s="14"/>
      <c r="V1008" s="14"/>
      <c r="W1008" s="24"/>
      <c r="X1008" s="14"/>
    </row>
    <row r="1009">
      <c r="A1009" s="14"/>
      <c r="B1009" s="22"/>
      <c r="C1009" s="14"/>
      <c r="D1009" s="14"/>
      <c r="E1009" s="14"/>
      <c r="F1009" s="14"/>
      <c r="G1009" s="14"/>
      <c r="H1009" s="14"/>
      <c r="I1009" s="14"/>
      <c r="J1009" s="14"/>
      <c r="K1009" s="14"/>
      <c r="L1009" s="14"/>
      <c r="M1009" s="14"/>
      <c r="N1009" s="14"/>
      <c r="O1009" s="14"/>
      <c r="P1009" s="14"/>
      <c r="Q1009" s="14"/>
      <c r="R1009" s="23"/>
      <c r="S1009" s="24"/>
      <c r="T1009" s="25"/>
      <c r="U1009" s="14"/>
      <c r="V1009" s="14"/>
      <c r="W1009" s="24"/>
      <c r="X1009" s="14"/>
    </row>
    <row r="1010">
      <c r="A1010" s="14"/>
      <c r="B1010" s="22"/>
      <c r="C1010" s="14"/>
      <c r="D1010" s="14"/>
      <c r="E1010" s="14"/>
      <c r="F1010" s="14"/>
      <c r="G1010" s="14"/>
      <c r="H1010" s="14"/>
      <c r="I1010" s="14"/>
      <c r="J1010" s="14"/>
      <c r="K1010" s="14"/>
      <c r="L1010" s="14"/>
      <c r="M1010" s="14"/>
      <c r="N1010" s="14"/>
      <c r="O1010" s="14"/>
      <c r="P1010" s="14"/>
      <c r="Q1010" s="14"/>
      <c r="R1010" s="23"/>
      <c r="S1010" s="24"/>
      <c r="T1010" s="25"/>
      <c r="U1010" s="14"/>
      <c r="V1010" s="14"/>
      <c r="W1010" s="24"/>
      <c r="X1010" s="14"/>
    </row>
    <row r="1011">
      <c r="A1011" s="14"/>
      <c r="B1011" s="22"/>
      <c r="C1011" s="14"/>
      <c r="D1011" s="14"/>
      <c r="E1011" s="14"/>
      <c r="F1011" s="14"/>
      <c r="G1011" s="14"/>
      <c r="H1011" s="14"/>
      <c r="I1011" s="14"/>
      <c r="J1011" s="14"/>
      <c r="K1011" s="14"/>
      <c r="L1011" s="14"/>
      <c r="M1011" s="14"/>
      <c r="N1011" s="14"/>
      <c r="O1011" s="14"/>
      <c r="P1011" s="14"/>
      <c r="Q1011" s="14"/>
      <c r="R1011" s="23"/>
      <c r="S1011" s="24"/>
      <c r="T1011" s="25"/>
      <c r="U1011" s="14"/>
      <c r="V1011" s="14"/>
      <c r="W1011" s="24"/>
      <c r="X1011" s="14"/>
    </row>
    <row r="1012">
      <c r="A1012" s="14"/>
      <c r="B1012" s="22"/>
      <c r="C1012" s="14"/>
      <c r="D1012" s="14"/>
      <c r="E1012" s="14"/>
      <c r="F1012" s="14"/>
      <c r="G1012" s="14"/>
      <c r="H1012" s="14"/>
      <c r="I1012" s="14"/>
      <c r="J1012" s="14"/>
      <c r="K1012" s="14"/>
      <c r="L1012" s="14"/>
      <c r="M1012" s="14"/>
      <c r="N1012" s="14"/>
      <c r="O1012" s="14"/>
      <c r="P1012" s="14"/>
      <c r="Q1012" s="14"/>
      <c r="R1012" s="23"/>
      <c r="S1012" s="24"/>
      <c r="T1012" s="25"/>
      <c r="U1012" s="14"/>
      <c r="V1012" s="14"/>
      <c r="W1012" s="24"/>
      <c r="X1012" s="14"/>
    </row>
    <row r="1013">
      <c r="A1013" s="14"/>
      <c r="B1013" s="22"/>
      <c r="C1013" s="14"/>
      <c r="D1013" s="14"/>
      <c r="E1013" s="14"/>
      <c r="F1013" s="14"/>
      <c r="G1013" s="14"/>
      <c r="H1013" s="14"/>
      <c r="I1013" s="14"/>
      <c r="J1013" s="14"/>
      <c r="K1013" s="14"/>
      <c r="L1013" s="14"/>
      <c r="M1013" s="14"/>
      <c r="N1013" s="14"/>
      <c r="O1013" s="14"/>
      <c r="P1013" s="14"/>
      <c r="Q1013" s="14"/>
      <c r="R1013" s="23"/>
      <c r="S1013" s="24"/>
      <c r="T1013" s="25"/>
      <c r="U1013" s="14"/>
      <c r="V1013" s="14"/>
      <c r="W1013" s="24"/>
      <c r="X1013" s="14"/>
    </row>
    <row r="1014">
      <c r="A1014" s="14"/>
      <c r="B1014" s="22"/>
      <c r="C1014" s="14"/>
      <c r="D1014" s="14"/>
      <c r="E1014" s="14"/>
      <c r="F1014" s="14"/>
      <c r="G1014" s="14"/>
      <c r="H1014" s="14"/>
      <c r="I1014" s="14"/>
      <c r="J1014" s="14"/>
      <c r="K1014" s="14"/>
      <c r="L1014" s="14"/>
      <c r="M1014" s="14"/>
      <c r="N1014" s="14"/>
      <c r="O1014" s="14"/>
      <c r="P1014" s="14"/>
      <c r="Q1014" s="14"/>
      <c r="R1014" s="23"/>
      <c r="S1014" s="24"/>
      <c r="T1014" s="25"/>
      <c r="U1014" s="14"/>
      <c r="V1014" s="14"/>
      <c r="W1014" s="24"/>
      <c r="X1014" s="14"/>
    </row>
    <row r="1015">
      <c r="A1015" s="14"/>
      <c r="B1015" s="22"/>
      <c r="C1015" s="14"/>
      <c r="D1015" s="14"/>
      <c r="E1015" s="14"/>
      <c r="F1015" s="14"/>
      <c r="G1015" s="14"/>
      <c r="H1015" s="14"/>
      <c r="I1015" s="14"/>
      <c r="J1015" s="14"/>
      <c r="K1015" s="14"/>
      <c r="L1015" s="14"/>
      <c r="M1015" s="14"/>
      <c r="N1015" s="14"/>
      <c r="O1015" s="14"/>
      <c r="P1015" s="14"/>
      <c r="Q1015" s="14"/>
      <c r="R1015" s="23"/>
      <c r="S1015" s="24"/>
      <c r="T1015" s="25"/>
      <c r="U1015" s="14"/>
      <c r="V1015" s="14"/>
      <c r="W1015" s="24"/>
      <c r="X1015" s="14"/>
    </row>
    <row r="1016">
      <c r="A1016" s="14"/>
      <c r="B1016" s="22"/>
      <c r="C1016" s="14"/>
      <c r="D1016" s="14"/>
      <c r="E1016" s="14"/>
      <c r="F1016" s="14"/>
      <c r="G1016" s="14"/>
      <c r="H1016" s="14"/>
      <c r="I1016" s="14"/>
      <c r="J1016" s="14"/>
      <c r="K1016" s="14"/>
      <c r="L1016" s="14"/>
      <c r="M1016" s="14"/>
      <c r="N1016" s="14"/>
      <c r="O1016" s="14"/>
      <c r="P1016" s="14"/>
      <c r="Q1016" s="14"/>
      <c r="R1016" s="23"/>
      <c r="S1016" s="24"/>
      <c r="T1016" s="25"/>
      <c r="U1016" s="14"/>
      <c r="V1016" s="14"/>
      <c r="W1016" s="24"/>
      <c r="X1016" s="14"/>
    </row>
    <row r="1017">
      <c r="A1017" s="14"/>
      <c r="B1017" s="22"/>
      <c r="C1017" s="14"/>
      <c r="D1017" s="14"/>
      <c r="E1017" s="14"/>
      <c r="F1017" s="14"/>
      <c r="G1017" s="14"/>
      <c r="H1017" s="14"/>
      <c r="I1017" s="14"/>
      <c r="J1017" s="14"/>
      <c r="K1017" s="14"/>
      <c r="L1017" s="14"/>
      <c r="M1017" s="14"/>
      <c r="N1017" s="14"/>
      <c r="O1017" s="14"/>
      <c r="P1017" s="14"/>
      <c r="Q1017" s="14"/>
      <c r="R1017" s="23"/>
      <c r="S1017" s="24"/>
      <c r="T1017" s="25"/>
      <c r="U1017" s="14"/>
      <c r="V1017" s="14"/>
      <c r="W1017" s="24"/>
      <c r="X1017" s="14"/>
    </row>
    <row r="1018">
      <c r="A1018" s="14"/>
      <c r="B1018" s="22"/>
      <c r="C1018" s="14"/>
      <c r="D1018" s="14"/>
      <c r="E1018" s="14"/>
      <c r="F1018" s="14"/>
      <c r="G1018" s="14"/>
      <c r="H1018" s="14"/>
      <c r="I1018" s="14"/>
      <c r="J1018" s="14"/>
      <c r="K1018" s="14"/>
      <c r="L1018" s="14"/>
      <c r="M1018" s="14"/>
      <c r="N1018" s="14"/>
      <c r="O1018" s="14"/>
      <c r="P1018" s="14"/>
      <c r="Q1018" s="14"/>
      <c r="R1018" s="23"/>
      <c r="S1018" s="24"/>
      <c r="T1018" s="25"/>
      <c r="U1018" s="14"/>
      <c r="V1018" s="14"/>
      <c r="W1018" s="24"/>
      <c r="X1018" s="14"/>
    </row>
    <row r="1019">
      <c r="A1019" s="14"/>
      <c r="B1019" s="22"/>
      <c r="C1019" s="14"/>
      <c r="D1019" s="14"/>
      <c r="E1019" s="14"/>
      <c r="F1019" s="14"/>
      <c r="G1019" s="14"/>
      <c r="H1019" s="14"/>
      <c r="I1019" s="14"/>
      <c r="J1019" s="14"/>
      <c r="K1019" s="14"/>
      <c r="L1019" s="14"/>
      <c r="M1019" s="14"/>
      <c r="N1019" s="14"/>
      <c r="O1019" s="14"/>
      <c r="P1019" s="14"/>
      <c r="Q1019" s="14"/>
      <c r="R1019" s="23"/>
      <c r="S1019" s="24"/>
      <c r="T1019" s="25"/>
      <c r="U1019" s="14"/>
      <c r="V1019" s="14"/>
      <c r="W1019" s="24"/>
      <c r="X1019" s="14"/>
    </row>
    <row r="1020">
      <c r="A1020" s="14"/>
      <c r="B1020" s="22"/>
      <c r="C1020" s="14"/>
      <c r="D1020" s="14"/>
      <c r="E1020" s="14"/>
      <c r="F1020" s="14"/>
      <c r="G1020" s="14"/>
      <c r="H1020" s="14"/>
      <c r="I1020" s="14"/>
      <c r="J1020" s="14"/>
      <c r="K1020" s="14"/>
      <c r="L1020" s="14"/>
      <c r="M1020" s="14"/>
      <c r="N1020" s="14"/>
      <c r="O1020" s="14"/>
      <c r="P1020" s="14"/>
      <c r="Q1020" s="14"/>
      <c r="R1020" s="23"/>
      <c r="S1020" s="24"/>
      <c r="T1020" s="25"/>
      <c r="U1020" s="14"/>
      <c r="V1020" s="14"/>
      <c r="W1020" s="24"/>
      <c r="X1020" s="14"/>
    </row>
    <row r="1021">
      <c r="A1021" s="14"/>
      <c r="B1021" s="22"/>
      <c r="C1021" s="14"/>
      <c r="D1021" s="14"/>
      <c r="E1021" s="14"/>
      <c r="F1021" s="14"/>
      <c r="G1021" s="14"/>
      <c r="H1021" s="14"/>
      <c r="I1021" s="14"/>
      <c r="J1021" s="14"/>
      <c r="K1021" s="14"/>
      <c r="L1021" s="14"/>
      <c r="M1021" s="14"/>
      <c r="N1021" s="14"/>
      <c r="O1021" s="14"/>
      <c r="P1021" s="14"/>
      <c r="Q1021" s="14"/>
      <c r="R1021" s="23"/>
      <c r="S1021" s="24"/>
      <c r="T1021" s="25"/>
      <c r="U1021" s="14"/>
      <c r="V1021" s="14"/>
      <c r="W1021" s="24"/>
      <c r="X1021" s="14"/>
    </row>
    <row r="1022">
      <c r="A1022" s="14"/>
      <c r="B1022" s="22"/>
      <c r="C1022" s="14"/>
      <c r="D1022" s="14"/>
      <c r="E1022" s="14"/>
      <c r="F1022" s="14"/>
      <c r="G1022" s="14"/>
      <c r="H1022" s="14"/>
      <c r="I1022" s="14"/>
      <c r="J1022" s="14"/>
      <c r="K1022" s="14"/>
      <c r="L1022" s="14"/>
      <c r="M1022" s="14"/>
      <c r="N1022" s="14"/>
      <c r="O1022" s="14"/>
      <c r="P1022" s="14"/>
      <c r="Q1022" s="14"/>
      <c r="R1022" s="23"/>
      <c r="S1022" s="24"/>
      <c r="T1022" s="25"/>
      <c r="U1022" s="14"/>
      <c r="V1022" s="14"/>
      <c r="W1022" s="24"/>
      <c r="X1022" s="14"/>
    </row>
    <row r="1023">
      <c r="A1023" s="14"/>
      <c r="B1023" s="22"/>
      <c r="C1023" s="14"/>
      <c r="D1023" s="14"/>
      <c r="E1023" s="14"/>
      <c r="F1023" s="14"/>
      <c r="G1023" s="14"/>
      <c r="H1023" s="14"/>
      <c r="I1023" s="14"/>
      <c r="J1023" s="14"/>
      <c r="K1023" s="14"/>
      <c r="L1023" s="14"/>
      <c r="M1023" s="14"/>
      <c r="N1023" s="14"/>
      <c r="O1023" s="14"/>
      <c r="P1023" s="14"/>
      <c r="Q1023" s="14"/>
      <c r="R1023" s="23"/>
      <c r="S1023" s="24"/>
      <c r="T1023" s="25"/>
      <c r="U1023" s="14"/>
      <c r="V1023" s="14"/>
      <c r="W1023" s="24"/>
      <c r="X1023" s="14"/>
    </row>
    <row r="1024">
      <c r="A1024" s="14"/>
      <c r="B1024" s="22"/>
      <c r="C1024" s="14"/>
      <c r="D1024" s="14"/>
      <c r="E1024" s="14"/>
      <c r="F1024" s="14"/>
      <c r="G1024" s="14"/>
      <c r="H1024" s="14"/>
      <c r="I1024" s="14"/>
      <c r="J1024" s="14"/>
      <c r="K1024" s="14"/>
      <c r="L1024" s="14"/>
      <c r="M1024" s="14"/>
      <c r="N1024" s="14"/>
      <c r="O1024" s="14"/>
      <c r="P1024" s="14"/>
      <c r="Q1024" s="14"/>
      <c r="R1024" s="23"/>
      <c r="S1024" s="24"/>
      <c r="T1024" s="25"/>
      <c r="U1024" s="14"/>
      <c r="V1024" s="14"/>
      <c r="W1024" s="24"/>
      <c r="X1024" s="14"/>
    </row>
    <row r="1025">
      <c r="A1025" s="14"/>
      <c r="B1025" s="22"/>
      <c r="C1025" s="14"/>
      <c r="D1025" s="14"/>
      <c r="E1025" s="14"/>
      <c r="F1025" s="14"/>
      <c r="G1025" s="14"/>
      <c r="H1025" s="14"/>
      <c r="I1025" s="14"/>
      <c r="J1025" s="14"/>
      <c r="K1025" s="14"/>
      <c r="L1025" s="14"/>
      <c r="M1025" s="14"/>
      <c r="N1025" s="14"/>
      <c r="O1025" s="14"/>
      <c r="P1025" s="14"/>
      <c r="Q1025" s="14"/>
      <c r="R1025" s="23"/>
      <c r="S1025" s="24"/>
      <c r="T1025" s="25"/>
      <c r="U1025" s="14"/>
      <c r="V1025" s="14"/>
      <c r="W1025" s="24"/>
      <c r="X1025" s="14"/>
    </row>
    <row r="1026">
      <c r="A1026" s="14"/>
      <c r="B1026" s="22"/>
      <c r="C1026" s="14"/>
      <c r="D1026" s="14"/>
      <c r="E1026" s="14"/>
      <c r="F1026" s="14"/>
      <c r="G1026" s="14"/>
      <c r="H1026" s="14"/>
      <c r="I1026" s="14"/>
      <c r="J1026" s="14"/>
      <c r="K1026" s="14"/>
      <c r="L1026" s="14"/>
      <c r="M1026" s="14"/>
      <c r="N1026" s="14"/>
      <c r="O1026" s="14"/>
      <c r="P1026" s="14"/>
      <c r="Q1026" s="14"/>
      <c r="R1026" s="23"/>
      <c r="S1026" s="24"/>
      <c r="T1026" s="25"/>
      <c r="U1026" s="14"/>
      <c r="V1026" s="14"/>
      <c r="W1026" s="24"/>
      <c r="X1026" s="14"/>
    </row>
    <row r="1027">
      <c r="A1027" s="14"/>
      <c r="B1027" s="22"/>
      <c r="C1027" s="14"/>
      <c r="D1027" s="14"/>
      <c r="E1027" s="14"/>
      <c r="F1027" s="14"/>
      <c r="G1027" s="14"/>
      <c r="H1027" s="14"/>
      <c r="I1027" s="14"/>
      <c r="J1027" s="14"/>
      <c r="K1027" s="14"/>
      <c r="L1027" s="14"/>
      <c r="M1027" s="14"/>
      <c r="N1027" s="14"/>
      <c r="O1027" s="14"/>
      <c r="P1027" s="14"/>
      <c r="Q1027" s="14"/>
      <c r="R1027" s="23"/>
      <c r="S1027" s="24"/>
      <c r="T1027" s="25"/>
      <c r="U1027" s="14"/>
      <c r="V1027" s="14"/>
      <c r="W1027" s="24"/>
      <c r="X1027" s="14"/>
    </row>
    <row r="1028">
      <c r="A1028" s="14"/>
      <c r="B1028" s="22"/>
      <c r="C1028" s="14"/>
      <c r="D1028" s="14"/>
      <c r="E1028" s="14"/>
      <c r="F1028" s="14"/>
      <c r="G1028" s="14"/>
      <c r="H1028" s="14"/>
      <c r="I1028" s="14"/>
      <c r="J1028" s="14"/>
      <c r="K1028" s="14"/>
      <c r="L1028" s="14"/>
      <c r="M1028" s="14"/>
      <c r="N1028" s="14"/>
      <c r="O1028" s="14"/>
      <c r="P1028" s="14"/>
      <c r="Q1028" s="14"/>
      <c r="R1028" s="23"/>
      <c r="S1028" s="24"/>
      <c r="T1028" s="25"/>
      <c r="U1028" s="14"/>
      <c r="V1028" s="14"/>
      <c r="W1028" s="24"/>
      <c r="X1028" s="14"/>
    </row>
    <row r="1029">
      <c r="A1029" s="14"/>
      <c r="B1029" s="22"/>
      <c r="C1029" s="14"/>
      <c r="D1029" s="14"/>
      <c r="E1029" s="14"/>
      <c r="F1029" s="14"/>
      <c r="G1029" s="14"/>
      <c r="H1029" s="14"/>
      <c r="I1029" s="14"/>
      <c r="J1029" s="14"/>
      <c r="K1029" s="14"/>
      <c r="L1029" s="14"/>
      <c r="M1029" s="14"/>
      <c r="N1029" s="14"/>
      <c r="O1029" s="14"/>
      <c r="P1029" s="14"/>
      <c r="Q1029" s="14"/>
      <c r="R1029" s="23"/>
      <c r="S1029" s="24"/>
      <c r="T1029" s="25"/>
      <c r="U1029" s="14"/>
      <c r="V1029" s="14"/>
      <c r="W1029" s="24"/>
      <c r="X1029" s="14"/>
    </row>
    <row r="1030">
      <c r="A1030" s="14"/>
      <c r="B1030" s="22"/>
      <c r="C1030" s="14"/>
      <c r="D1030" s="14"/>
      <c r="E1030" s="14"/>
      <c r="F1030" s="14"/>
      <c r="G1030" s="14"/>
      <c r="H1030" s="14"/>
      <c r="I1030" s="14"/>
      <c r="J1030" s="14"/>
      <c r="K1030" s="14"/>
      <c r="L1030" s="14"/>
      <c r="M1030" s="14"/>
      <c r="N1030" s="14"/>
      <c r="O1030" s="14"/>
      <c r="P1030" s="14"/>
      <c r="Q1030" s="14"/>
      <c r="R1030" s="23"/>
      <c r="S1030" s="24"/>
      <c r="T1030" s="25"/>
      <c r="U1030" s="14"/>
      <c r="V1030" s="14"/>
      <c r="W1030" s="24"/>
      <c r="X1030" s="14"/>
    </row>
    <row r="1031">
      <c r="A1031" s="14"/>
      <c r="B1031" s="22"/>
      <c r="C1031" s="14"/>
      <c r="D1031" s="14"/>
      <c r="E1031" s="14"/>
      <c r="F1031" s="14"/>
      <c r="G1031" s="14"/>
      <c r="H1031" s="14"/>
      <c r="I1031" s="14"/>
      <c r="J1031" s="14"/>
      <c r="K1031" s="14"/>
      <c r="L1031" s="14"/>
      <c r="M1031" s="14"/>
      <c r="N1031" s="14"/>
      <c r="O1031" s="14"/>
      <c r="P1031" s="14"/>
      <c r="Q1031" s="14"/>
      <c r="R1031" s="23"/>
      <c r="S1031" s="24"/>
      <c r="T1031" s="25"/>
      <c r="U1031" s="14"/>
      <c r="V1031" s="14"/>
      <c r="W1031" s="24"/>
      <c r="X1031" s="14"/>
    </row>
    <row r="1032">
      <c r="A1032" s="14"/>
      <c r="B1032" s="22"/>
      <c r="C1032" s="14"/>
      <c r="D1032" s="14"/>
      <c r="E1032" s="14"/>
      <c r="F1032" s="14"/>
      <c r="G1032" s="14"/>
      <c r="H1032" s="14"/>
      <c r="I1032" s="14"/>
      <c r="J1032" s="14"/>
      <c r="K1032" s="14"/>
      <c r="L1032" s="14"/>
      <c r="M1032" s="14"/>
      <c r="N1032" s="14"/>
      <c r="O1032" s="14"/>
      <c r="P1032" s="14"/>
      <c r="Q1032" s="14"/>
      <c r="R1032" s="23"/>
      <c r="S1032" s="24"/>
      <c r="T1032" s="25"/>
      <c r="U1032" s="14"/>
      <c r="V1032" s="14"/>
      <c r="W1032" s="24"/>
      <c r="X1032" s="14"/>
    </row>
    <row r="1033">
      <c r="A1033" s="14"/>
      <c r="B1033" s="22"/>
      <c r="C1033" s="14"/>
      <c r="D1033" s="14"/>
      <c r="E1033" s="14"/>
      <c r="F1033" s="14"/>
      <c r="G1033" s="14"/>
      <c r="H1033" s="14"/>
      <c r="I1033" s="14"/>
      <c r="J1033" s="14"/>
      <c r="K1033" s="14"/>
      <c r="L1033" s="14"/>
      <c r="M1033" s="14"/>
      <c r="N1033" s="14"/>
      <c r="O1033" s="14"/>
      <c r="P1033" s="14"/>
      <c r="Q1033" s="14"/>
      <c r="R1033" s="23"/>
      <c r="S1033" s="24"/>
      <c r="T1033" s="25"/>
      <c r="U1033" s="14"/>
      <c r="V1033" s="14"/>
      <c r="W1033" s="24"/>
      <c r="X1033" s="14"/>
    </row>
    <row r="1034">
      <c r="A1034" s="14"/>
      <c r="B1034" s="22"/>
      <c r="C1034" s="14"/>
      <c r="D1034" s="14"/>
      <c r="E1034" s="14"/>
      <c r="F1034" s="14"/>
      <c r="G1034" s="14"/>
      <c r="H1034" s="14"/>
      <c r="I1034" s="14"/>
      <c r="J1034" s="14"/>
      <c r="K1034" s="14"/>
      <c r="L1034" s="14"/>
      <c r="M1034" s="14"/>
      <c r="N1034" s="14"/>
      <c r="O1034" s="14"/>
      <c r="P1034" s="14"/>
      <c r="Q1034" s="14"/>
      <c r="R1034" s="23"/>
      <c r="S1034" s="24"/>
      <c r="T1034" s="25"/>
      <c r="U1034" s="14"/>
      <c r="V1034" s="14"/>
      <c r="W1034" s="24"/>
      <c r="X1034" s="14"/>
    </row>
    <row r="1035">
      <c r="A1035" s="14"/>
      <c r="B1035" s="22"/>
      <c r="C1035" s="14"/>
      <c r="D1035" s="14"/>
      <c r="E1035" s="14"/>
      <c r="F1035" s="14"/>
      <c r="G1035" s="14"/>
      <c r="H1035" s="14"/>
      <c r="I1035" s="14"/>
      <c r="J1035" s="14"/>
      <c r="K1035" s="14"/>
      <c r="L1035" s="14"/>
      <c r="M1035" s="14"/>
      <c r="N1035" s="14"/>
      <c r="O1035" s="14"/>
      <c r="P1035" s="14"/>
      <c r="Q1035" s="14"/>
      <c r="R1035" s="23"/>
      <c r="S1035" s="24"/>
      <c r="T1035" s="25"/>
      <c r="U1035" s="14"/>
      <c r="V1035" s="14"/>
      <c r="W1035" s="24"/>
      <c r="X1035" s="14"/>
    </row>
    <row r="1036">
      <c r="A1036" s="14"/>
      <c r="B1036" s="22"/>
      <c r="C1036" s="14"/>
      <c r="D1036" s="14"/>
      <c r="E1036" s="14"/>
      <c r="F1036" s="14"/>
      <c r="G1036" s="14"/>
      <c r="H1036" s="14"/>
      <c r="I1036" s="14"/>
      <c r="J1036" s="14"/>
      <c r="K1036" s="14"/>
      <c r="L1036" s="14"/>
      <c r="M1036" s="14"/>
      <c r="N1036" s="14"/>
      <c r="O1036" s="14"/>
      <c r="P1036" s="14"/>
      <c r="Q1036" s="14"/>
      <c r="R1036" s="23"/>
      <c r="S1036" s="24"/>
      <c r="T1036" s="25"/>
      <c r="U1036" s="14"/>
      <c r="V1036" s="14"/>
      <c r="W1036" s="24"/>
      <c r="X1036" s="14"/>
    </row>
    <row r="1037">
      <c r="A1037" s="14"/>
      <c r="B1037" s="22"/>
      <c r="C1037" s="14"/>
      <c r="D1037" s="14"/>
      <c r="E1037" s="14"/>
      <c r="F1037" s="14"/>
      <c r="G1037" s="14"/>
      <c r="H1037" s="14"/>
      <c r="I1037" s="14"/>
      <c r="J1037" s="14"/>
      <c r="K1037" s="14"/>
      <c r="L1037" s="14"/>
      <c r="M1037" s="14"/>
      <c r="N1037" s="14"/>
      <c r="O1037" s="14"/>
      <c r="P1037" s="14"/>
      <c r="Q1037" s="14"/>
      <c r="R1037" s="23"/>
      <c r="S1037" s="24"/>
      <c r="T1037" s="25"/>
      <c r="U1037" s="14"/>
      <c r="V1037" s="14"/>
      <c r="W1037" s="24"/>
      <c r="X1037" s="14"/>
    </row>
    <row r="1038">
      <c r="A1038" s="14"/>
      <c r="B1038" s="22"/>
      <c r="C1038" s="14"/>
      <c r="D1038" s="14"/>
      <c r="E1038" s="14"/>
      <c r="F1038" s="14"/>
      <c r="G1038" s="14"/>
      <c r="H1038" s="14"/>
      <c r="I1038" s="14"/>
      <c r="J1038" s="14"/>
      <c r="K1038" s="14"/>
      <c r="L1038" s="14"/>
      <c r="M1038" s="14"/>
      <c r="N1038" s="14"/>
      <c r="O1038" s="14"/>
      <c r="P1038" s="14"/>
      <c r="Q1038" s="14"/>
      <c r="R1038" s="23"/>
      <c r="S1038" s="24"/>
      <c r="T1038" s="25"/>
      <c r="U1038" s="14"/>
      <c r="V1038" s="14"/>
      <c r="W1038" s="24"/>
      <c r="X1038" s="14"/>
    </row>
    <row r="1039">
      <c r="A1039" s="14"/>
      <c r="B1039" s="22"/>
      <c r="C1039" s="14"/>
      <c r="D1039" s="14"/>
      <c r="E1039" s="14"/>
      <c r="F1039" s="14"/>
      <c r="G1039" s="14"/>
      <c r="H1039" s="14"/>
      <c r="I1039" s="14"/>
      <c r="J1039" s="14"/>
      <c r="K1039" s="14"/>
      <c r="L1039" s="14"/>
      <c r="M1039" s="14"/>
      <c r="N1039" s="14"/>
      <c r="O1039" s="14"/>
      <c r="P1039" s="14"/>
      <c r="Q1039" s="14"/>
      <c r="R1039" s="23"/>
      <c r="S1039" s="24"/>
      <c r="T1039" s="25"/>
      <c r="U1039" s="14"/>
      <c r="V1039" s="14"/>
      <c r="W1039" s="24"/>
      <c r="X1039" s="14"/>
    </row>
    <row r="1040">
      <c r="A1040" s="14"/>
      <c r="B1040" s="22"/>
      <c r="C1040" s="14"/>
      <c r="D1040" s="14"/>
      <c r="E1040" s="14"/>
      <c r="F1040" s="14"/>
      <c r="G1040" s="14"/>
      <c r="H1040" s="14"/>
      <c r="I1040" s="14"/>
      <c r="J1040" s="14"/>
      <c r="K1040" s="14"/>
      <c r="L1040" s="14"/>
      <c r="M1040" s="14"/>
      <c r="N1040" s="14"/>
      <c r="O1040" s="14"/>
      <c r="P1040" s="14"/>
      <c r="Q1040" s="14"/>
      <c r="R1040" s="23"/>
      <c r="S1040" s="24"/>
      <c r="T1040" s="25"/>
      <c r="U1040" s="14"/>
      <c r="V1040" s="14"/>
      <c r="W1040" s="24"/>
      <c r="X1040" s="14"/>
    </row>
    <row r="1041">
      <c r="A1041" s="14"/>
      <c r="B1041" s="22"/>
      <c r="C1041" s="14"/>
      <c r="D1041" s="14"/>
      <c r="E1041" s="14"/>
      <c r="F1041" s="14"/>
      <c r="G1041" s="14"/>
      <c r="H1041" s="14"/>
      <c r="I1041" s="14"/>
      <c r="J1041" s="14"/>
      <c r="K1041" s="14"/>
      <c r="L1041" s="14"/>
      <c r="M1041" s="14"/>
      <c r="N1041" s="14"/>
      <c r="O1041" s="14"/>
      <c r="P1041" s="14"/>
      <c r="Q1041" s="14"/>
      <c r="R1041" s="23"/>
      <c r="S1041" s="24"/>
      <c r="T1041" s="25"/>
      <c r="U1041" s="14"/>
      <c r="V1041" s="14"/>
      <c r="W1041" s="24"/>
      <c r="X1041" s="14"/>
    </row>
    <row r="1042">
      <c r="A1042" s="14"/>
      <c r="B1042" s="22"/>
      <c r="C1042" s="14"/>
      <c r="D1042" s="14"/>
      <c r="E1042" s="14"/>
      <c r="F1042" s="14"/>
      <c r="G1042" s="14"/>
      <c r="H1042" s="14"/>
      <c r="I1042" s="14"/>
      <c r="J1042" s="14"/>
      <c r="K1042" s="14"/>
      <c r="L1042" s="14"/>
      <c r="M1042" s="14"/>
      <c r="N1042" s="14"/>
      <c r="O1042" s="14"/>
      <c r="P1042" s="14"/>
      <c r="Q1042" s="14"/>
      <c r="R1042" s="23"/>
      <c r="S1042" s="24"/>
      <c r="T1042" s="25"/>
      <c r="U1042" s="14"/>
      <c r="V1042" s="14"/>
      <c r="W1042" s="24"/>
      <c r="X1042" s="14"/>
    </row>
    <row r="1043">
      <c r="A1043" s="14"/>
      <c r="B1043" s="22"/>
      <c r="C1043" s="14"/>
      <c r="D1043" s="14"/>
      <c r="E1043" s="14"/>
      <c r="F1043" s="14"/>
      <c r="G1043" s="14"/>
      <c r="H1043" s="14"/>
      <c r="I1043" s="14"/>
      <c r="J1043" s="14"/>
      <c r="K1043" s="14"/>
      <c r="L1043" s="14"/>
      <c r="M1043" s="14"/>
      <c r="N1043" s="14"/>
      <c r="O1043" s="14"/>
      <c r="P1043" s="14"/>
      <c r="Q1043" s="14"/>
      <c r="R1043" s="23"/>
      <c r="S1043" s="24"/>
      <c r="T1043" s="25"/>
      <c r="U1043" s="14"/>
      <c r="V1043" s="14"/>
      <c r="W1043" s="24"/>
      <c r="X1043" s="14"/>
    </row>
    <row r="1044">
      <c r="A1044" s="14"/>
      <c r="B1044" s="22"/>
      <c r="C1044" s="14"/>
      <c r="D1044" s="14"/>
      <c r="E1044" s="14"/>
      <c r="F1044" s="14"/>
      <c r="G1044" s="14"/>
      <c r="H1044" s="14"/>
      <c r="I1044" s="14"/>
      <c r="J1044" s="14"/>
      <c r="K1044" s="14"/>
      <c r="L1044" s="14"/>
      <c r="M1044" s="14"/>
      <c r="N1044" s="14"/>
      <c r="O1044" s="14"/>
      <c r="P1044" s="14"/>
      <c r="Q1044" s="14"/>
      <c r="R1044" s="23"/>
      <c r="S1044" s="24"/>
      <c r="T1044" s="25"/>
      <c r="U1044" s="14"/>
      <c r="V1044" s="14"/>
      <c r="W1044" s="24"/>
      <c r="X1044" s="14"/>
    </row>
    <row r="1045">
      <c r="A1045" s="14"/>
      <c r="B1045" s="22"/>
      <c r="C1045" s="14"/>
      <c r="D1045" s="14"/>
      <c r="E1045" s="14"/>
      <c r="F1045" s="14"/>
      <c r="G1045" s="14"/>
      <c r="H1045" s="14"/>
      <c r="I1045" s="14"/>
      <c r="J1045" s="14"/>
      <c r="K1045" s="14"/>
      <c r="L1045" s="14"/>
      <c r="M1045" s="14"/>
      <c r="N1045" s="14"/>
      <c r="O1045" s="14"/>
      <c r="P1045" s="14"/>
      <c r="Q1045" s="14"/>
      <c r="R1045" s="23"/>
      <c r="S1045" s="24"/>
      <c r="T1045" s="25"/>
      <c r="U1045" s="14"/>
      <c r="V1045" s="14"/>
      <c r="W1045" s="24"/>
      <c r="X1045" s="14"/>
    </row>
    <row r="1046">
      <c r="A1046" s="14"/>
      <c r="B1046" s="22"/>
      <c r="C1046" s="14"/>
      <c r="D1046" s="14"/>
      <c r="E1046" s="14"/>
      <c r="F1046" s="14"/>
      <c r="G1046" s="14"/>
      <c r="H1046" s="14"/>
      <c r="I1046" s="14"/>
      <c r="J1046" s="14"/>
      <c r="K1046" s="14"/>
      <c r="L1046" s="14"/>
      <c r="M1046" s="14"/>
      <c r="N1046" s="14"/>
      <c r="O1046" s="14"/>
      <c r="P1046" s="14"/>
      <c r="Q1046" s="14"/>
      <c r="R1046" s="23"/>
      <c r="S1046" s="24"/>
      <c r="T1046" s="25"/>
      <c r="U1046" s="14"/>
      <c r="V1046" s="14"/>
      <c r="W1046" s="24"/>
      <c r="X1046" s="14"/>
    </row>
    <row r="1047">
      <c r="A1047" s="14"/>
      <c r="B1047" s="22"/>
      <c r="C1047" s="14"/>
      <c r="D1047" s="14"/>
      <c r="E1047" s="14"/>
      <c r="F1047" s="14"/>
      <c r="G1047" s="14"/>
      <c r="H1047" s="14"/>
      <c r="I1047" s="14"/>
      <c r="J1047" s="14"/>
      <c r="K1047" s="14"/>
      <c r="L1047" s="14"/>
      <c r="M1047" s="14"/>
      <c r="N1047" s="14"/>
      <c r="O1047" s="14"/>
      <c r="P1047" s="14"/>
      <c r="Q1047" s="14"/>
      <c r="R1047" s="23"/>
      <c r="S1047" s="24"/>
      <c r="T1047" s="25"/>
      <c r="U1047" s="14"/>
      <c r="V1047" s="14"/>
      <c r="W1047" s="24"/>
      <c r="X1047" s="14"/>
    </row>
    <row r="1048">
      <c r="A1048" s="14"/>
      <c r="B1048" s="22"/>
      <c r="C1048" s="14"/>
      <c r="D1048" s="14"/>
      <c r="E1048" s="14"/>
      <c r="F1048" s="14"/>
      <c r="G1048" s="14"/>
      <c r="H1048" s="14"/>
      <c r="I1048" s="14"/>
      <c r="J1048" s="14"/>
      <c r="K1048" s="14"/>
      <c r="L1048" s="14"/>
      <c r="M1048" s="14"/>
      <c r="N1048" s="14"/>
      <c r="O1048" s="14"/>
      <c r="P1048" s="14"/>
      <c r="Q1048" s="14"/>
      <c r="R1048" s="23"/>
      <c r="S1048" s="24"/>
      <c r="T1048" s="25"/>
      <c r="U1048" s="14"/>
      <c r="V1048" s="14"/>
      <c r="W1048" s="24"/>
      <c r="X1048" s="14"/>
    </row>
    <row r="1049">
      <c r="A1049" s="14"/>
      <c r="B1049" s="22"/>
      <c r="C1049" s="14"/>
      <c r="D1049" s="14"/>
      <c r="E1049" s="14"/>
      <c r="F1049" s="14"/>
      <c r="G1049" s="14"/>
      <c r="H1049" s="14"/>
      <c r="I1049" s="14"/>
      <c r="J1049" s="14"/>
      <c r="K1049" s="14"/>
      <c r="L1049" s="14"/>
      <c r="M1049" s="14"/>
      <c r="N1049" s="14"/>
      <c r="O1049" s="14"/>
      <c r="P1049" s="14"/>
      <c r="Q1049" s="14"/>
      <c r="R1049" s="23"/>
      <c r="S1049" s="24"/>
      <c r="T1049" s="25"/>
      <c r="U1049" s="14"/>
      <c r="V1049" s="14"/>
      <c r="W1049" s="24"/>
      <c r="X1049" s="14"/>
    </row>
    <row r="1050">
      <c r="A1050" s="14"/>
      <c r="B1050" s="22"/>
      <c r="C1050" s="14"/>
      <c r="D1050" s="14"/>
      <c r="E1050" s="14"/>
      <c r="F1050" s="14"/>
      <c r="G1050" s="14"/>
      <c r="H1050" s="14"/>
      <c r="I1050" s="14"/>
      <c r="J1050" s="14"/>
      <c r="K1050" s="14"/>
      <c r="L1050" s="14"/>
      <c r="M1050" s="14"/>
      <c r="N1050" s="14"/>
      <c r="O1050" s="14"/>
      <c r="P1050" s="14"/>
      <c r="Q1050" s="14"/>
      <c r="R1050" s="23"/>
      <c r="S1050" s="24"/>
      <c r="T1050" s="25"/>
      <c r="U1050" s="14"/>
      <c r="V1050" s="14"/>
      <c r="W1050" s="24"/>
      <c r="X1050" s="14"/>
    </row>
    <row r="1051">
      <c r="A1051" s="14"/>
      <c r="B1051" s="22"/>
      <c r="C1051" s="14"/>
      <c r="D1051" s="14"/>
      <c r="E1051" s="14"/>
      <c r="F1051" s="14"/>
      <c r="G1051" s="14"/>
      <c r="H1051" s="14"/>
      <c r="I1051" s="14"/>
      <c r="J1051" s="14"/>
      <c r="K1051" s="14"/>
      <c r="L1051" s="14"/>
      <c r="M1051" s="14"/>
      <c r="N1051" s="14"/>
      <c r="O1051" s="14"/>
      <c r="P1051" s="14"/>
      <c r="Q1051" s="14"/>
      <c r="R1051" s="23"/>
      <c r="S1051" s="24"/>
      <c r="T1051" s="25"/>
      <c r="U1051" s="14"/>
      <c r="V1051" s="14"/>
      <c r="W1051" s="24"/>
      <c r="X1051" s="14"/>
    </row>
    <row r="1052">
      <c r="A1052" s="14"/>
      <c r="B1052" s="22"/>
      <c r="C1052" s="14"/>
      <c r="D1052" s="14"/>
      <c r="E1052" s="14"/>
      <c r="F1052" s="14"/>
      <c r="G1052" s="14"/>
      <c r="H1052" s="14"/>
      <c r="I1052" s="14"/>
      <c r="J1052" s="14"/>
      <c r="K1052" s="14"/>
      <c r="L1052" s="14"/>
      <c r="M1052" s="14"/>
      <c r="N1052" s="14"/>
      <c r="O1052" s="14"/>
      <c r="P1052" s="14"/>
      <c r="Q1052" s="14"/>
      <c r="R1052" s="23"/>
      <c r="S1052" s="24"/>
      <c r="T1052" s="25"/>
      <c r="U1052" s="14"/>
      <c r="V1052" s="14"/>
      <c r="W1052" s="24"/>
      <c r="X1052" s="14"/>
    </row>
    <row r="1053">
      <c r="A1053" s="14"/>
      <c r="B1053" s="22"/>
      <c r="C1053" s="14"/>
      <c r="D1053" s="14"/>
      <c r="E1053" s="14"/>
      <c r="F1053" s="14"/>
      <c r="G1053" s="14"/>
      <c r="H1053" s="14"/>
      <c r="I1053" s="14"/>
      <c r="J1053" s="14"/>
      <c r="K1053" s="14"/>
      <c r="L1053" s="14"/>
      <c r="M1053" s="14"/>
      <c r="N1053" s="14"/>
      <c r="O1053" s="14"/>
      <c r="P1053" s="14"/>
      <c r="Q1053" s="14"/>
      <c r="R1053" s="23"/>
      <c r="S1053" s="24"/>
      <c r="T1053" s="25"/>
      <c r="U1053" s="14"/>
      <c r="V1053" s="14"/>
      <c r="W1053" s="24"/>
      <c r="X1053" s="14"/>
    </row>
    <row r="1054">
      <c r="A1054" s="14"/>
      <c r="B1054" s="22"/>
      <c r="C1054" s="14"/>
      <c r="D1054" s="14"/>
      <c r="E1054" s="14"/>
      <c r="F1054" s="14"/>
      <c r="G1054" s="14"/>
      <c r="H1054" s="14"/>
      <c r="I1054" s="14"/>
      <c r="J1054" s="14"/>
      <c r="K1054" s="14"/>
      <c r="L1054" s="14"/>
      <c r="M1054" s="14"/>
      <c r="N1054" s="14"/>
      <c r="O1054" s="14"/>
      <c r="P1054" s="14"/>
      <c r="Q1054" s="14"/>
      <c r="R1054" s="23"/>
      <c r="S1054" s="24"/>
      <c r="T1054" s="25"/>
      <c r="U1054" s="14"/>
      <c r="V1054" s="14"/>
      <c r="W1054" s="24"/>
      <c r="X1054" s="14"/>
    </row>
    <row r="1055">
      <c r="A1055" s="14"/>
      <c r="B1055" s="22"/>
      <c r="C1055" s="14"/>
      <c r="D1055" s="14"/>
      <c r="E1055" s="14"/>
      <c r="F1055" s="14"/>
      <c r="G1055" s="14"/>
      <c r="H1055" s="14"/>
      <c r="I1055" s="14"/>
      <c r="J1055" s="14"/>
      <c r="K1055" s="14"/>
      <c r="L1055" s="14"/>
      <c r="M1055" s="14"/>
      <c r="N1055" s="14"/>
      <c r="O1055" s="14"/>
      <c r="P1055" s="14"/>
      <c r="Q1055" s="14"/>
      <c r="R1055" s="23"/>
      <c r="S1055" s="24"/>
      <c r="T1055" s="25"/>
      <c r="U1055" s="14"/>
      <c r="V1055" s="14"/>
      <c r="W1055" s="24"/>
      <c r="X1055" s="14"/>
    </row>
    <row r="1056">
      <c r="A1056" s="14"/>
      <c r="B1056" s="22"/>
      <c r="C1056" s="14"/>
      <c r="D1056" s="14"/>
      <c r="E1056" s="14"/>
      <c r="F1056" s="14"/>
      <c r="G1056" s="14"/>
      <c r="H1056" s="14"/>
      <c r="I1056" s="14"/>
      <c r="J1056" s="14"/>
      <c r="K1056" s="14"/>
      <c r="L1056" s="14"/>
      <c r="M1056" s="14"/>
      <c r="N1056" s="14"/>
      <c r="O1056" s="14"/>
      <c r="P1056" s="14"/>
      <c r="Q1056" s="14"/>
      <c r="R1056" s="23"/>
      <c r="S1056" s="24"/>
      <c r="T1056" s="25"/>
      <c r="U1056" s="14"/>
      <c r="V1056" s="14"/>
      <c r="W1056" s="24"/>
      <c r="X1056" s="14"/>
    </row>
    <row r="1057">
      <c r="A1057" s="14"/>
      <c r="B1057" s="22"/>
      <c r="C1057" s="14"/>
      <c r="D1057" s="14"/>
      <c r="E1057" s="14"/>
      <c r="F1057" s="14"/>
      <c r="G1057" s="14"/>
      <c r="H1057" s="14"/>
      <c r="I1057" s="14"/>
      <c r="J1057" s="14"/>
      <c r="K1057" s="14"/>
      <c r="L1057" s="14"/>
      <c r="M1057" s="14"/>
      <c r="N1057" s="14"/>
      <c r="O1057" s="14"/>
      <c r="P1057" s="14"/>
      <c r="Q1057" s="14"/>
      <c r="R1057" s="23"/>
      <c r="S1057" s="24"/>
      <c r="T1057" s="25"/>
      <c r="U1057" s="14"/>
      <c r="V1057" s="14"/>
      <c r="W1057" s="24"/>
      <c r="X1057" s="14"/>
    </row>
    <row r="1058">
      <c r="A1058" s="14"/>
      <c r="B1058" s="22"/>
      <c r="C1058" s="14"/>
      <c r="D1058" s="14"/>
      <c r="E1058" s="14"/>
      <c r="F1058" s="14"/>
      <c r="G1058" s="14"/>
      <c r="H1058" s="14"/>
      <c r="I1058" s="14"/>
      <c r="J1058" s="14"/>
      <c r="K1058" s="14"/>
      <c r="L1058" s="14"/>
      <c r="M1058" s="14"/>
      <c r="N1058" s="14"/>
      <c r="O1058" s="14"/>
      <c r="P1058" s="14"/>
      <c r="Q1058" s="14"/>
      <c r="R1058" s="23"/>
      <c r="S1058" s="24"/>
      <c r="T1058" s="25"/>
      <c r="U1058" s="14"/>
      <c r="V1058" s="14"/>
      <c r="W1058" s="24"/>
      <c r="X1058" s="14"/>
    </row>
    <row r="1059">
      <c r="A1059" s="14"/>
      <c r="B1059" s="22"/>
      <c r="C1059" s="14"/>
      <c r="D1059" s="14"/>
      <c r="E1059" s="14"/>
      <c r="F1059" s="14"/>
      <c r="G1059" s="14"/>
      <c r="H1059" s="14"/>
      <c r="I1059" s="14"/>
      <c r="J1059" s="14"/>
      <c r="K1059" s="14"/>
      <c r="L1059" s="14"/>
      <c r="M1059" s="14"/>
      <c r="N1059" s="14"/>
      <c r="O1059" s="14"/>
      <c r="P1059" s="14"/>
      <c r="Q1059" s="14"/>
      <c r="R1059" s="23"/>
      <c r="S1059" s="24"/>
      <c r="T1059" s="25"/>
      <c r="U1059" s="14"/>
      <c r="V1059" s="14"/>
      <c r="W1059" s="24"/>
      <c r="X1059" s="14"/>
    </row>
    <row r="1060">
      <c r="A1060" s="14"/>
      <c r="B1060" s="22"/>
      <c r="C1060" s="14"/>
      <c r="D1060" s="14"/>
      <c r="E1060" s="14"/>
      <c r="F1060" s="14"/>
      <c r="G1060" s="14"/>
      <c r="H1060" s="14"/>
      <c r="I1060" s="14"/>
      <c r="J1060" s="14"/>
      <c r="K1060" s="14"/>
      <c r="L1060" s="14"/>
      <c r="M1060" s="14"/>
      <c r="N1060" s="14"/>
      <c r="O1060" s="14"/>
      <c r="P1060" s="14"/>
      <c r="Q1060" s="14"/>
      <c r="R1060" s="23"/>
      <c r="S1060" s="24"/>
      <c r="T1060" s="25"/>
      <c r="U1060" s="14"/>
      <c r="V1060" s="14"/>
      <c r="W1060" s="24"/>
      <c r="X1060" s="14"/>
    </row>
    <row r="1061">
      <c r="A1061" s="14"/>
      <c r="B1061" s="22"/>
      <c r="C1061" s="14"/>
      <c r="D1061" s="14"/>
      <c r="E1061" s="14"/>
      <c r="F1061" s="14"/>
      <c r="G1061" s="14"/>
      <c r="H1061" s="14"/>
      <c r="I1061" s="14"/>
      <c r="J1061" s="14"/>
      <c r="K1061" s="14"/>
      <c r="L1061" s="14"/>
      <c r="M1061" s="14"/>
      <c r="N1061" s="14"/>
      <c r="O1061" s="14"/>
      <c r="P1061" s="14"/>
      <c r="Q1061" s="14"/>
      <c r="R1061" s="23"/>
      <c r="S1061" s="24"/>
      <c r="T1061" s="25"/>
      <c r="U1061" s="14"/>
      <c r="V1061" s="14"/>
      <c r="W1061" s="24"/>
      <c r="X1061" s="14"/>
    </row>
    <row r="1062">
      <c r="A1062" s="14"/>
      <c r="B1062" s="22"/>
      <c r="C1062" s="14"/>
      <c r="D1062" s="14"/>
      <c r="E1062" s="14"/>
      <c r="F1062" s="14"/>
      <c r="G1062" s="14"/>
      <c r="H1062" s="14"/>
      <c r="I1062" s="14"/>
      <c r="J1062" s="14"/>
      <c r="K1062" s="14"/>
      <c r="L1062" s="14"/>
      <c r="M1062" s="14"/>
      <c r="N1062" s="14"/>
      <c r="O1062" s="14"/>
      <c r="P1062" s="14"/>
      <c r="Q1062" s="14"/>
      <c r="R1062" s="23"/>
      <c r="S1062" s="24"/>
      <c r="T1062" s="25"/>
      <c r="U1062" s="14"/>
      <c r="V1062" s="14"/>
      <c r="W1062" s="24"/>
      <c r="X1062" s="14"/>
    </row>
    <row r="1063">
      <c r="A1063" s="14"/>
      <c r="B1063" s="22"/>
      <c r="C1063" s="14"/>
      <c r="D1063" s="14"/>
      <c r="E1063" s="14"/>
      <c r="F1063" s="14"/>
      <c r="G1063" s="14"/>
      <c r="H1063" s="14"/>
      <c r="I1063" s="14"/>
      <c r="J1063" s="14"/>
      <c r="K1063" s="14"/>
      <c r="L1063" s="14"/>
      <c r="M1063" s="14"/>
      <c r="N1063" s="14"/>
      <c r="O1063" s="14"/>
      <c r="P1063" s="14"/>
      <c r="Q1063" s="14"/>
      <c r="R1063" s="23"/>
      <c r="S1063" s="24"/>
      <c r="T1063" s="25"/>
      <c r="U1063" s="14"/>
      <c r="V1063" s="14"/>
      <c r="W1063" s="24"/>
      <c r="X1063" s="14"/>
    </row>
    <row r="1064">
      <c r="A1064" s="14"/>
      <c r="B1064" s="22"/>
      <c r="C1064" s="14"/>
      <c r="D1064" s="14"/>
      <c r="E1064" s="14"/>
      <c r="F1064" s="14"/>
      <c r="G1064" s="14"/>
      <c r="H1064" s="14"/>
      <c r="I1064" s="14"/>
      <c r="J1064" s="14"/>
      <c r="K1064" s="14"/>
      <c r="L1064" s="14"/>
      <c r="M1064" s="14"/>
      <c r="N1064" s="14"/>
      <c r="O1064" s="14"/>
      <c r="P1064" s="14"/>
      <c r="Q1064" s="14"/>
      <c r="R1064" s="23"/>
      <c r="S1064" s="24"/>
      <c r="T1064" s="25"/>
      <c r="U1064" s="14"/>
      <c r="V1064" s="14"/>
      <c r="W1064" s="24"/>
      <c r="X1064" s="14"/>
    </row>
    <row r="1065">
      <c r="A1065" s="14"/>
      <c r="B1065" s="22"/>
      <c r="C1065" s="14"/>
      <c r="D1065" s="14"/>
      <c r="E1065" s="14"/>
      <c r="F1065" s="14"/>
      <c r="G1065" s="14"/>
      <c r="H1065" s="14"/>
      <c r="I1065" s="14"/>
      <c r="J1065" s="14"/>
      <c r="K1065" s="14"/>
      <c r="L1065" s="14"/>
      <c r="M1065" s="14"/>
      <c r="N1065" s="14"/>
      <c r="O1065" s="14"/>
      <c r="P1065" s="14"/>
      <c r="Q1065" s="14"/>
      <c r="R1065" s="23"/>
      <c r="S1065" s="24"/>
      <c r="T1065" s="25"/>
      <c r="U1065" s="14"/>
      <c r="V1065" s="14"/>
      <c r="W1065" s="24"/>
      <c r="X1065" s="14"/>
    </row>
    <row r="1066">
      <c r="A1066" s="14"/>
      <c r="B1066" s="22"/>
      <c r="C1066" s="14"/>
      <c r="D1066" s="14"/>
      <c r="E1066" s="14"/>
      <c r="F1066" s="14"/>
      <c r="G1066" s="14"/>
      <c r="H1066" s="14"/>
      <c r="I1066" s="14"/>
      <c r="J1066" s="14"/>
      <c r="K1066" s="14"/>
      <c r="L1066" s="14"/>
      <c r="M1066" s="14"/>
      <c r="N1066" s="14"/>
      <c r="O1066" s="14"/>
      <c r="P1066" s="14"/>
      <c r="Q1066" s="14"/>
      <c r="R1066" s="23"/>
      <c r="S1066" s="24"/>
      <c r="T1066" s="25"/>
      <c r="U1066" s="14"/>
      <c r="V1066" s="14"/>
      <c r="W1066" s="24"/>
      <c r="X1066" s="14"/>
    </row>
    <row r="1067">
      <c r="A1067" s="14"/>
      <c r="B1067" s="22"/>
      <c r="C1067" s="14"/>
      <c r="D1067" s="14"/>
      <c r="E1067" s="14"/>
      <c r="F1067" s="14"/>
      <c r="G1067" s="14"/>
      <c r="H1067" s="14"/>
      <c r="I1067" s="14"/>
      <c r="J1067" s="14"/>
      <c r="K1067" s="14"/>
      <c r="L1067" s="14"/>
      <c r="M1067" s="14"/>
      <c r="N1067" s="14"/>
      <c r="O1067" s="14"/>
      <c r="P1067" s="14"/>
      <c r="Q1067" s="14"/>
      <c r="R1067" s="23"/>
      <c r="S1067" s="24"/>
      <c r="T1067" s="25"/>
      <c r="U1067" s="14"/>
      <c r="V1067" s="14"/>
      <c r="W1067" s="24"/>
      <c r="X1067" s="14"/>
    </row>
    <row r="1068">
      <c r="A1068" s="14"/>
      <c r="B1068" s="22"/>
      <c r="C1068" s="14"/>
      <c r="D1068" s="14"/>
      <c r="E1068" s="14"/>
      <c r="F1068" s="14"/>
      <c r="G1068" s="14"/>
      <c r="H1068" s="14"/>
      <c r="I1068" s="14"/>
      <c r="J1068" s="14"/>
      <c r="K1068" s="14"/>
      <c r="L1068" s="14"/>
      <c r="M1068" s="14"/>
      <c r="N1068" s="14"/>
      <c r="O1068" s="14"/>
      <c r="P1068" s="14"/>
      <c r="Q1068" s="14"/>
      <c r="R1068" s="23"/>
      <c r="S1068" s="24"/>
      <c r="T1068" s="25"/>
      <c r="U1068" s="14"/>
      <c r="V1068" s="14"/>
      <c r="W1068" s="24"/>
      <c r="X1068" s="14"/>
    </row>
    <row r="1069">
      <c r="A1069" s="14"/>
      <c r="B1069" s="22"/>
      <c r="C1069" s="14"/>
      <c r="D1069" s="14"/>
      <c r="E1069" s="14"/>
      <c r="F1069" s="14"/>
      <c r="G1069" s="14"/>
      <c r="H1069" s="14"/>
      <c r="I1069" s="14"/>
      <c r="J1069" s="14"/>
      <c r="K1069" s="14"/>
      <c r="L1069" s="14"/>
      <c r="M1069" s="14"/>
      <c r="N1069" s="14"/>
      <c r="O1069" s="14"/>
      <c r="P1069" s="14"/>
      <c r="Q1069" s="14"/>
      <c r="R1069" s="23"/>
      <c r="S1069" s="24"/>
      <c r="T1069" s="25"/>
      <c r="U1069" s="14"/>
      <c r="V1069" s="14"/>
      <c r="W1069" s="24"/>
      <c r="X1069" s="14"/>
    </row>
    <row r="1070">
      <c r="A1070" s="14"/>
      <c r="B1070" s="22"/>
      <c r="C1070" s="14"/>
      <c r="D1070" s="14"/>
      <c r="E1070" s="14"/>
      <c r="F1070" s="14"/>
      <c r="G1070" s="14"/>
      <c r="H1070" s="14"/>
      <c r="I1070" s="14"/>
      <c r="J1070" s="14"/>
      <c r="K1070" s="14"/>
      <c r="L1070" s="14"/>
      <c r="M1070" s="14"/>
      <c r="N1070" s="14"/>
      <c r="O1070" s="14"/>
      <c r="P1070" s="14"/>
      <c r="Q1070" s="14"/>
      <c r="R1070" s="23"/>
      <c r="S1070" s="24"/>
      <c r="T1070" s="25"/>
      <c r="U1070" s="14"/>
      <c r="V1070" s="14"/>
      <c r="W1070" s="24"/>
      <c r="X1070" s="14"/>
    </row>
    <row r="1071">
      <c r="A1071" s="14"/>
      <c r="B1071" s="22"/>
      <c r="C1071" s="14"/>
      <c r="D1071" s="14"/>
      <c r="E1071" s="14"/>
      <c r="F1071" s="14"/>
      <c r="G1071" s="14"/>
      <c r="H1071" s="14"/>
      <c r="I1071" s="14"/>
      <c r="J1071" s="14"/>
      <c r="K1071" s="14"/>
      <c r="L1071" s="14"/>
      <c r="M1071" s="14"/>
      <c r="N1071" s="14"/>
      <c r="O1071" s="14"/>
      <c r="P1071" s="14"/>
      <c r="Q1071" s="14"/>
      <c r="R1071" s="23"/>
      <c r="S1071" s="24"/>
      <c r="T1071" s="25"/>
      <c r="U1071" s="14"/>
      <c r="V1071" s="14"/>
      <c r="W1071" s="24"/>
      <c r="X1071" s="14"/>
    </row>
    <row r="1072">
      <c r="A1072" s="14"/>
      <c r="B1072" s="22"/>
      <c r="C1072" s="14"/>
      <c r="D1072" s="14"/>
      <c r="E1072" s="14"/>
      <c r="F1072" s="14"/>
      <c r="G1072" s="14"/>
      <c r="H1072" s="14"/>
      <c r="I1072" s="14"/>
      <c r="J1072" s="14"/>
      <c r="K1072" s="14"/>
      <c r="L1072" s="14"/>
      <c r="M1072" s="14"/>
      <c r="N1072" s="14"/>
      <c r="O1072" s="14"/>
      <c r="P1072" s="14"/>
      <c r="Q1072" s="14"/>
      <c r="R1072" s="23"/>
      <c r="S1072" s="24"/>
      <c r="T1072" s="25"/>
      <c r="U1072" s="14"/>
      <c r="V1072" s="14"/>
      <c r="W1072" s="24"/>
      <c r="X1072" s="14"/>
    </row>
    <row r="1073">
      <c r="A1073" s="14"/>
      <c r="B1073" s="22"/>
      <c r="C1073" s="14"/>
      <c r="D1073" s="14"/>
      <c r="E1073" s="14"/>
      <c r="F1073" s="14"/>
      <c r="G1073" s="14"/>
      <c r="H1073" s="14"/>
      <c r="I1073" s="14"/>
      <c r="J1073" s="14"/>
      <c r="K1073" s="14"/>
      <c r="L1073" s="14"/>
      <c r="M1073" s="14"/>
      <c r="N1073" s="14"/>
      <c r="O1073" s="14"/>
      <c r="P1073" s="14"/>
      <c r="Q1073" s="14"/>
      <c r="R1073" s="23"/>
      <c r="S1073" s="24"/>
      <c r="T1073" s="25"/>
      <c r="U1073" s="14"/>
      <c r="V1073" s="14"/>
      <c r="W1073" s="24"/>
      <c r="X1073" s="14"/>
    </row>
    <row r="1074">
      <c r="A1074" s="14"/>
      <c r="B1074" s="22"/>
      <c r="C1074" s="14"/>
      <c r="D1074" s="14"/>
      <c r="E1074" s="14"/>
      <c r="F1074" s="14"/>
      <c r="G1074" s="14"/>
      <c r="H1074" s="14"/>
      <c r="I1074" s="14"/>
      <c r="J1074" s="14"/>
      <c r="K1074" s="14"/>
      <c r="L1074" s="14"/>
      <c r="M1074" s="14"/>
      <c r="N1074" s="14"/>
      <c r="O1074" s="14"/>
      <c r="P1074" s="14"/>
      <c r="Q1074" s="14"/>
      <c r="R1074" s="23"/>
      <c r="S1074" s="24"/>
      <c r="T1074" s="25"/>
      <c r="U1074" s="14"/>
      <c r="V1074" s="14"/>
      <c r="W1074" s="24"/>
      <c r="X1074" s="14"/>
    </row>
    <row r="1075">
      <c r="A1075" s="14"/>
      <c r="B1075" s="22"/>
      <c r="C1075" s="14"/>
      <c r="D1075" s="14"/>
      <c r="E1075" s="14"/>
      <c r="F1075" s="14"/>
      <c r="G1075" s="14"/>
      <c r="H1075" s="14"/>
      <c r="I1075" s="14"/>
      <c r="J1075" s="14"/>
      <c r="K1075" s="14"/>
      <c r="L1075" s="14"/>
      <c r="M1075" s="14"/>
      <c r="N1075" s="14"/>
      <c r="O1075" s="14"/>
      <c r="P1075" s="14"/>
      <c r="Q1075" s="14"/>
      <c r="R1075" s="23"/>
      <c r="S1075" s="24"/>
      <c r="T1075" s="25"/>
      <c r="U1075" s="14"/>
      <c r="V1075" s="14"/>
      <c r="W1075" s="24"/>
      <c r="X1075" s="14"/>
    </row>
    <row r="1076">
      <c r="A1076" s="14"/>
      <c r="B1076" s="22"/>
      <c r="C1076" s="14"/>
      <c r="D1076" s="14"/>
      <c r="E1076" s="14"/>
      <c r="F1076" s="14"/>
      <c r="G1076" s="14"/>
      <c r="H1076" s="14"/>
      <c r="I1076" s="14"/>
      <c r="J1076" s="14"/>
      <c r="K1076" s="14"/>
      <c r="L1076" s="14"/>
      <c r="M1076" s="14"/>
      <c r="N1076" s="14"/>
      <c r="O1076" s="14"/>
      <c r="P1076" s="14"/>
      <c r="Q1076" s="14"/>
      <c r="R1076" s="23"/>
      <c r="S1076" s="24"/>
      <c r="T1076" s="25"/>
      <c r="U1076" s="14"/>
      <c r="V1076" s="14"/>
      <c r="W1076" s="24"/>
      <c r="X1076" s="14"/>
    </row>
    <row r="1077">
      <c r="A1077" s="14"/>
      <c r="B1077" s="22"/>
      <c r="C1077" s="14"/>
      <c r="D1077" s="14"/>
      <c r="E1077" s="14"/>
      <c r="F1077" s="14"/>
      <c r="G1077" s="14"/>
      <c r="H1077" s="14"/>
      <c r="I1077" s="14"/>
      <c r="J1077" s="14"/>
      <c r="K1077" s="14"/>
      <c r="L1077" s="14"/>
      <c r="M1077" s="14"/>
      <c r="N1077" s="14"/>
      <c r="O1077" s="14"/>
      <c r="P1077" s="14"/>
      <c r="Q1077" s="14"/>
      <c r="R1077" s="23"/>
      <c r="S1077" s="24"/>
      <c r="T1077" s="25"/>
      <c r="U1077" s="14"/>
      <c r="V1077" s="14"/>
      <c r="W1077" s="24"/>
      <c r="X1077" s="14"/>
    </row>
    <row r="1078">
      <c r="A1078" s="14"/>
      <c r="B1078" s="22"/>
      <c r="C1078" s="14"/>
      <c r="D1078" s="14"/>
      <c r="E1078" s="14"/>
      <c r="F1078" s="14"/>
      <c r="G1078" s="14"/>
      <c r="H1078" s="14"/>
      <c r="I1078" s="14"/>
      <c r="J1078" s="14"/>
      <c r="K1078" s="14"/>
      <c r="L1078" s="14"/>
      <c r="M1078" s="14"/>
      <c r="N1078" s="14"/>
      <c r="O1078" s="14"/>
      <c r="P1078" s="14"/>
      <c r="Q1078" s="14"/>
      <c r="R1078" s="23"/>
      <c r="S1078" s="24"/>
      <c r="T1078" s="25"/>
      <c r="U1078" s="14"/>
      <c r="V1078" s="14"/>
      <c r="W1078" s="24"/>
      <c r="X1078" s="14"/>
    </row>
    <row r="1079">
      <c r="A1079" s="14"/>
      <c r="B1079" s="22"/>
      <c r="C1079" s="14"/>
      <c r="D1079" s="14"/>
      <c r="E1079" s="14"/>
      <c r="F1079" s="14"/>
      <c r="G1079" s="14"/>
      <c r="H1079" s="14"/>
      <c r="I1079" s="14"/>
      <c r="J1079" s="14"/>
      <c r="K1079" s="14"/>
      <c r="L1079" s="14"/>
      <c r="M1079" s="14"/>
      <c r="N1079" s="14"/>
      <c r="O1079" s="14"/>
      <c r="P1079" s="14"/>
      <c r="Q1079" s="14"/>
      <c r="R1079" s="23"/>
      <c r="S1079" s="24"/>
      <c r="T1079" s="25"/>
      <c r="U1079" s="14"/>
      <c r="V1079" s="14"/>
      <c r="W1079" s="24"/>
      <c r="X1079" s="14"/>
    </row>
    <row r="1080">
      <c r="A1080" s="14"/>
      <c r="B1080" s="22"/>
      <c r="C1080" s="14"/>
      <c r="D1080" s="14"/>
      <c r="E1080" s="14"/>
      <c r="F1080" s="14"/>
      <c r="G1080" s="14"/>
      <c r="H1080" s="14"/>
      <c r="I1080" s="14"/>
      <c r="J1080" s="14"/>
      <c r="K1080" s="14"/>
      <c r="L1080" s="14"/>
      <c r="M1080" s="14"/>
      <c r="N1080" s="14"/>
      <c r="O1080" s="14"/>
      <c r="P1080" s="14"/>
      <c r="Q1080" s="14"/>
      <c r="R1080" s="23"/>
      <c r="S1080" s="24"/>
      <c r="T1080" s="25"/>
      <c r="U1080" s="14"/>
      <c r="V1080" s="14"/>
      <c r="W1080" s="24"/>
      <c r="X1080" s="14"/>
    </row>
    <row r="1081">
      <c r="A1081" s="14"/>
      <c r="B1081" s="22"/>
      <c r="C1081" s="14"/>
      <c r="D1081" s="14"/>
      <c r="E1081" s="14"/>
      <c r="F1081" s="14"/>
      <c r="G1081" s="14"/>
      <c r="H1081" s="14"/>
      <c r="I1081" s="14"/>
      <c r="J1081" s="14"/>
      <c r="K1081" s="14"/>
      <c r="L1081" s="14"/>
      <c r="M1081" s="14"/>
      <c r="N1081" s="14"/>
      <c r="O1081" s="14"/>
      <c r="P1081" s="14"/>
      <c r="Q1081" s="14"/>
      <c r="R1081" s="23"/>
      <c r="S1081" s="24"/>
      <c r="T1081" s="25"/>
      <c r="U1081" s="14"/>
      <c r="V1081" s="14"/>
      <c r="W1081" s="24"/>
      <c r="X1081" s="14"/>
    </row>
    <row r="1082">
      <c r="A1082" s="14"/>
      <c r="B1082" s="22"/>
      <c r="C1082" s="14"/>
      <c r="D1082" s="14"/>
      <c r="E1082" s="14"/>
      <c r="F1082" s="14"/>
      <c r="G1082" s="14"/>
      <c r="H1082" s="14"/>
      <c r="I1082" s="14"/>
      <c r="J1082" s="14"/>
      <c r="K1082" s="14"/>
      <c r="L1082" s="14"/>
      <c r="M1082" s="14"/>
      <c r="N1082" s="14"/>
      <c r="O1082" s="14"/>
      <c r="P1082" s="14"/>
      <c r="Q1082" s="14"/>
      <c r="R1082" s="23"/>
      <c r="S1082" s="24"/>
      <c r="T1082" s="25"/>
      <c r="U1082" s="14"/>
      <c r="V1082" s="14"/>
      <c r="W1082" s="24"/>
      <c r="X1082" s="14"/>
    </row>
    <row r="1083">
      <c r="A1083" s="14"/>
      <c r="B1083" s="22"/>
      <c r="C1083" s="14"/>
      <c r="D1083" s="14"/>
      <c r="E1083" s="14"/>
      <c r="F1083" s="14"/>
      <c r="G1083" s="14"/>
      <c r="H1083" s="14"/>
      <c r="I1083" s="14"/>
      <c r="J1083" s="14"/>
      <c r="K1083" s="14"/>
      <c r="L1083" s="14"/>
      <c r="M1083" s="14"/>
      <c r="N1083" s="14"/>
      <c r="O1083" s="14"/>
      <c r="P1083" s="14"/>
      <c r="Q1083" s="14"/>
      <c r="R1083" s="23"/>
      <c r="S1083" s="24"/>
      <c r="T1083" s="25"/>
      <c r="U1083" s="14"/>
      <c r="V1083" s="14"/>
      <c r="W1083" s="24"/>
      <c r="X1083" s="14"/>
    </row>
    <row r="1084">
      <c r="A1084" s="14"/>
      <c r="B1084" s="22"/>
      <c r="C1084" s="14"/>
      <c r="D1084" s="14"/>
      <c r="E1084" s="14"/>
      <c r="F1084" s="14"/>
      <c r="G1084" s="14"/>
      <c r="H1084" s="14"/>
      <c r="I1084" s="14"/>
      <c r="J1084" s="14"/>
      <c r="K1084" s="14"/>
      <c r="L1084" s="14"/>
      <c r="M1084" s="14"/>
      <c r="N1084" s="14"/>
      <c r="O1084" s="14"/>
      <c r="P1084" s="14"/>
      <c r="Q1084" s="14"/>
      <c r="R1084" s="23"/>
      <c r="S1084" s="24"/>
      <c r="T1084" s="25"/>
      <c r="U1084" s="14"/>
      <c r="V1084" s="14"/>
      <c r="W1084" s="24"/>
      <c r="X1084" s="14"/>
    </row>
    <row r="1085">
      <c r="A1085" s="14"/>
      <c r="B1085" s="22"/>
      <c r="C1085" s="14"/>
      <c r="D1085" s="14"/>
      <c r="E1085" s="14"/>
      <c r="F1085" s="14"/>
      <c r="G1085" s="14"/>
      <c r="H1085" s="14"/>
      <c r="I1085" s="14"/>
      <c r="J1085" s="14"/>
      <c r="K1085" s="14"/>
      <c r="L1085" s="14"/>
      <c r="M1085" s="14"/>
      <c r="N1085" s="14"/>
      <c r="O1085" s="14"/>
      <c r="P1085" s="14"/>
      <c r="Q1085" s="14"/>
      <c r="R1085" s="23"/>
      <c r="S1085" s="24"/>
      <c r="T1085" s="25"/>
      <c r="U1085" s="14"/>
      <c r="V1085" s="14"/>
      <c r="W1085" s="24"/>
      <c r="X1085" s="14"/>
    </row>
    <row r="1086">
      <c r="A1086" s="14"/>
      <c r="B1086" s="22"/>
      <c r="C1086" s="14"/>
      <c r="D1086" s="14"/>
      <c r="E1086" s="14"/>
      <c r="F1086" s="14"/>
      <c r="G1086" s="14"/>
      <c r="H1086" s="14"/>
      <c r="I1086" s="14"/>
      <c r="J1086" s="14"/>
      <c r="K1086" s="14"/>
      <c r="L1086" s="14"/>
      <c r="M1086" s="14"/>
      <c r="N1086" s="14"/>
      <c r="O1086" s="14"/>
      <c r="P1086" s="14"/>
      <c r="Q1086" s="14"/>
      <c r="R1086" s="23"/>
      <c r="S1086" s="24"/>
      <c r="T1086" s="25"/>
      <c r="U1086" s="14"/>
      <c r="V1086" s="14"/>
      <c r="W1086" s="24"/>
      <c r="X1086" s="14"/>
    </row>
    <row r="1087">
      <c r="A1087" s="14"/>
      <c r="B1087" s="22"/>
      <c r="C1087" s="14"/>
      <c r="D1087" s="14"/>
      <c r="E1087" s="14"/>
      <c r="F1087" s="14"/>
      <c r="G1087" s="14"/>
      <c r="H1087" s="14"/>
      <c r="I1087" s="14"/>
      <c r="J1087" s="14"/>
      <c r="K1087" s="14"/>
      <c r="L1087" s="14"/>
      <c r="M1087" s="14"/>
      <c r="N1087" s="14"/>
      <c r="O1087" s="14"/>
      <c r="P1087" s="14"/>
      <c r="Q1087" s="14"/>
      <c r="R1087" s="23"/>
      <c r="S1087" s="24"/>
      <c r="T1087" s="25"/>
      <c r="U1087" s="14"/>
      <c r="V1087" s="14"/>
      <c r="W1087" s="24"/>
      <c r="X1087" s="14"/>
    </row>
    <row r="1088">
      <c r="A1088" s="14"/>
      <c r="B1088" s="22"/>
      <c r="C1088" s="14"/>
      <c r="D1088" s="14"/>
      <c r="E1088" s="14"/>
      <c r="F1088" s="14"/>
      <c r="G1088" s="14"/>
      <c r="H1088" s="14"/>
      <c r="I1088" s="14"/>
      <c r="J1088" s="14"/>
      <c r="K1088" s="14"/>
      <c r="L1088" s="14"/>
      <c r="M1088" s="14"/>
      <c r="N1088" s="14"/>
      <c r="O1088" s="14"/>
      <c r="P1088" s="14"/>
      <c r="Q1088" s="14"/>
      <c r="R1088" s="23"/>
      <c r="S1088" s="24"/>
      <c r="T1088" s="25"/>
      <c r="U1088" s="14"/>
      <c r="V1088" s="14"/>
      <c r="W1088" s="24"/>
      <c r="X1088" s="14"/>
    </row>
    <row r="1089">
      <c r="A1089" s="14"/>
      <c r="B1089" s="22"/>
      <c r="C1089" s="14"/>
      <c r="D1089" s="14"/>
      <c r="E1089" s="14"/>
      <c r="F1089" s="14"/>
      <c r="G1089" s="14"/>
      <c r="H1089" s="14"/>
      <c r="I1089" s="14"/>
      <c r="J1089" s="14"/>
      <c r="K1089" s="14"/>
      <c r="L1089" s="14"/>
      <c r="M1089" s="14"/>
      <c r="N1089" s="14"/>
      <c r="O1089" s="14"/>
      <c r="P1089" s="14"/>
      <c r="Q1089" s="14"/>
      <c r="R1089" s="23"/>
      <c r="S1089" s="24"/>
      <c r="T1089" s="25"/>
      <c r="U1089" s="14"/>
      <c r="V1089" s="14"/>
      <c r="W1089" s="24"/>
      <c r="X1089" s="14"/>
    </row>
    <row r="1090">
      <c r="A1090" s="14"/>
      <c r="B1090" s="22"/>
      <c r="C1090" s="14"/>
      <c r="D1090" s="14"/>
      <c r="E1090" s="14"/>
      <c r="F1090" s="14"/>
      <c r="G1090" s="14"/>
      <c r="H1090" s="14"/>
      <c r="I1090" s="14"/>
      <c r="J1090" s="14"/>
      <c r="K1090" s="14"/>
      <c r="L1090" s="14"/>
      <c r="M1090" s="14"/>
      <c r="N1090" s="14"/>
      <c r="O1090" s="14"/>
      <c r="P1090" s="14"/>
      <c r="Q1090" s="14"/>
      <c r="R1090" s="23"/>
      <c r="S1090" s="24"/>
      <c r="T1090" s="25"/>
      <c r="U1090" s="14"/>
      <c r="V1090" s="14"/>
      <c r="W1090" s="24"/>
      <c r="X1090" s="14"/>
    </row>
    <row r="1091">
      <c r="A1091" s="14"/>
      <c r="B1091" s="22"/>
      <c r="C1091" s="14"/>
      <c r="D1091" s="14"/>
      <c r="E1091" s="14"/>
      <c r="F1091" s="14"/>
      <c r="G1091" s="14"/>
      <c r="H1091" s="14"/>
      <c r="I1091" s="14"/>
      <c r="J1091" s="14"/>
      <c r="K1091" s="14"/>
      <c r="L1091" s="14"/>
      <c r="M1091" s="14"/>
      <c r="N1091" s="14"/>
      <c r="O1091" s="14"/>
      <c r="P1091" s="14"/>
      <c r="Q1091" s="14"/>
      <c r="R1091" s="23"/>
      <c r="S1091" s="24"/>
      <c r="T1091" s="25"/>
      <c r="U1091" s="14"/>
      <c r="V1091" s="14"/>
      <c r="W1091" s="24"/>
      <c r="X1091" s="14"/>
    </row>
    <row r="1092">
      <c r="A1092" s="14"/>
      <c r="B1092" s="22"/>
      <c r="C1092" s="14"/>
      <c r="D1092" s="14"/>
      <c r="E1092" s="14"/>
      <c r="F1092" s="14"/>
      <c r="G1092" s="14"/>
      <c r="H1092" s="14"/>
      <c r="I1092" s="14"/>
      <c r="J1092" s="14"/>
      <c r="K1092" s="14"/>
      <c r="L1092" s="14"/>
      <c r="M1092" s="14"/>
      <c r="N1092" s="14"/>
      <c r="O1092" s="14"/>
      <c r="P1092" s="14"/>
      <c r="Q1092" s="14"/>
      <c r="R1092" s="23"/>
      <c r="S1092" s="24"/>
      <c r="T1092" s="25"/>
      <c r="U1092" s="14"/>
      <c r="V1092" s="14"/>
      <c r="W1092" s="24"/>
      <c r="X1092" s="14"/>
    </row>
    <row r="1093">
      <c r="A1093" s="14"/>
      <c r="B1093" s="22"/>
      <c r="C1093" s="14"/>
      <c r="D1093" s="14"/>
      <c r="E1093" s="14"/>
      <c r="F1093" s="14"/>
      <c r="G1093" s="14"/>
      <c r="H1093" s="14"/>
      <c r="I1093" s="14"/>
      <c r="J1093" s="14"/>
      <c r="K1093" s="14"/>
      <c r="L1093" s="14"/>
      <c r="M1093" s="14"/>
      <c r="N1093" s="14"/>
      <c r="O1093" s="14"/>
      <c r="P1093" s="14"/>
      <c r="Q1093" s="14"/>
      <c r="R1093" s="23"/>
      <c r="S1093" s="24"/>
      <c r="T1093" s="25"/>
      <c r="U1093" s="14"/>
      <c r="V1093" s="14"/>
      <c r="W1093" s="24"/>
      <c r="X1093" s="14"/>
    </row>
    <row r="1094">
      <c r="A1094" s="14"/>
      <c r="B1094" s="22"/>
      <c r="C1094" s="14"/>
      <c r="D1094" s="14"/>
      <c r="E1094" s="14"/>
      <c r="F1094" s="14"/>
      <c r="G1094" s="14"/>
      <c r="H1094" s="14"/>
      <c r="I1094" s="14"/>
      <c r="J1094" s="14"/>
      <c r="K1094" s="14"/>
      <c r="L1094" s="14"/>
      <c r="M1094" s="14"/>
      <c r="N1094" s="14"/>
      <c r="O1094" s="14"/>
      <c r="P1094" s="14"/>
      <c r="Q1094" s="14"/>
      <c r="R1094" s="23"/>
      <c r="S1094" s="24"/>
      <c r="T1094" s="25"/>
      <c r="U1094" s="14"/>
      <c r="V1094" s="14"/>
      <c r="W1094" s="24"/>
      <c r="X1094" s="14"/>
    </row>
    <row r="1095">
      <c r="A1095" s="14"/>
      <c r="B1095" s="22"/>
      <c r="C1095" s="14"/>
      <c r="D1095" s="14"/>
      <c r="E1095" s="14"/>
      <c r="F1095" s="14"/>
      <c r="G1095" s="14"/>
      <c r="H1095" s="14"/>
      <c r="I1095" s="14"/>
      <c r="J1095" s="14"/>
      <c r="K1095" s="14"/>
      <c r="L1095" s="14"/>
      <c r="M1095" s="14"/>
      <c r="N1095" s="14"/>
      <c r="O1095" s="14"/>
      <c r="P1095" s="14"/>
      <c r="Q1095" s="14"/>
      <c r="R1095" s="23"/>
      <c r="S1095" s="24"/>
      <c r="T1095" s="25"/>
      <c r="U1095" s="14"/>
      <c r="V1095" s="14"/>
      <c r="W1095" s="24"/>
      <c r="X1095" s="14"/>
    </row>
    <row r="1096">
      <c r="A1096" s="14"/>
      <c r="B1096" s="22"/>
      <c r="C1096" s="14"/>
      <c r="D1096" s="14"/>
      <c r="E1096" s="14"/>
      <c r="F1096" s="14"/>
      <c r="G1096" s="14"/>
      <c r="H1096" s="14"/>
      <c r="I1096" s="14"/>
      <c r="J1096" s="14"/>
      <c r="K1096" s="14"/>
      <c r="L1096" s="14"/>
      <c r="M1096" s="14"/>
      <c r="N1096" s="14"/>
      <c r="O1096" s="14"/>
      <c r="P1096" s="14"/>
      <c r="Q1096" s="14"/>
      <c r="R1096" s="23"/>
      <c r="S1096" s="24"/>
      <c r="T1096" s="25"/>
      <c r="U1096" s="14"/>
      <c r="V1096" s="14"/>
      <c r="W1096" s="24"/>
      <c r="X1096" s="14"/>
    </row>
    <row r="1097">
      <c r="A1097" s="14"/>
      <c r="B1097" s="22"/>
      <c r="C1097" s="14"/>
      <c r="D1097" s="14"/>
      <c r="E1097" s="14"/>
      <c r="F1097" s="14"/>
      <c r="G1097" s="14"/>
      <c r="H1097" s="14"/>
      <c r="I1097" s="14"/>
      <c r="J1097" s="14"/>
      <c r="K1097" s="14"/>
      <c r="L1097" s="14"/>
      <c r="M1097" s="14"/>
      <c r="N1097" s="14"/>
      <c r="O1097" s="14"/>
      <c r="P1097" s="14"/>
      <c r="Q1097" s="14"/>
      <c r="R1097" s="23"/>
      <c r="S1097" s="24"/>
      <c r="T1097" s="25"/>
      <c r="U1097" s="14"/>
      <c r="V1097" s="14"/>
      <c r="W1097" s="24"/>
      <c r="X1097" s="14"/>
    </row>
    <row r="1098">
      <c r="A1098" s="14"/>
      <c r="B1098" s="22"/>
      <c r="C1098" s="14"/>
      <c r="D1098" s="14"/>
      <c r="E1098" s="14"/>
      <c r="F1098" s="14"/>
      <c r="G1098" s="14"/>
      <c r="H1098" s="14"/>
      <c r="I1098" s="14"/>
      <c r="J1098" s="14"/>
      <c r="K1098" s="14"/>
      <c r="L1098" s="14"/>
      <c r="M1098" s="14"/>
      <c r="N1098" s="14"/>
      <c r="O1098" s="14"/>
      <c r="P1098" s="14"/>
      <c r="Q1098" s="14"/>
      <c r="R1098" s="23"/>
      <c r="S1098" s="24"/>
      <c r="T1098" s="25"/>
      <c r="U1098" s="14"/>
      <c r="V1098" s="14"/>
      <c r="W1098" s="24"/>
      <c r="X1098" s="14"/>
    </row>
    <row r="1099">
      <c r="A1099" s="14"/>
      <c r="B1099" s="22"/>
      <c r="C1099" s="14"/>
      <c r="D1099" s="14"/>
      <c r="E1099" s="14"/>
      <c r="F1099" s="14"/>
      <c r="G1099" s="14"/>
      <c r="H1099" s="14"/>
      <c r="I1099" s="14"/>
      <c r="J1099" s="14"/>
      <c r="K1099" s="14"/>
      <c r="L1099" s="14"/>
      <c r="M1099" s="14"/>
      <c r="N1099" s="14"/>
      <c r="O1099" s="14"/>
      <c r="P1099" s="14"/>
      <c r="Q1099" s="14"/>
      <c r="R1099" s="23"/>
      <c r="S1099" s="24"/>
      <c r="T1099" s="25"/>
      <c r="U1099" s="14"/>
      <c r="V1099" s="14"/>
      <c r="W1099" s="24"/>
      <c r="X1099" s="14"/>
    </row>
    <row r="1100">
      <c r="A1100" s="14"/>
      <c r="B1100" s="22"/>
      <c r="C1100" s="14"/>
      <c r="D1100" s="14"/>
      <c r="E1100" s="14"/>
      <c r="F1100" s="14"/>
      <c r="G1100" s="14"/>
      <c r="H1100" s="14"/>
      <c r="I1100" s="14"/>
      <c r="J1100" s="14"/>
      <c r="K1100" s="14"/>
      <c r="L1100" s="14"/>
      <c r="M1100" s="14"/>
      <c r="N1100" s="14"/>
      <c r="O1100" s="14"/>
      <c r="P1100" s="14"/>
      <c r="Q1100" s="14"/>
      <c r="R1100" s="23"/>
      <c r="S1100" s="24"/>
      <c r="T1100" s="25"/>
      <c r="U1100" s="14"/>
      <c r="V1100" s="14"/>
      <c r="W1100" s="24"/>
      <c r="X1100" s="14"/>
    </row>
    <row r="1101">
      <c r="A1101" s="14"/>
      <c r="B1101" s="22"/>
      <c r="C1101" s="14"/>
      <c r="D1101" s="14"/>
      <c r="E1101" s="14"/>
      <c r="F1101" s="14"/>
      <c r="G1101" s="14"/>
      <c r="H1101" s="14"/>
      <c r="I1101" s="14"/>
      <c r="J1101" s="14"/>
      <c r="K1101" s="14"/>
      <c r="L1101" s="14"/>
      <c r="M1101" s="14"/>
      <c r="N1101" s="14"/>
      <c r="O1101" s="14"/>
      <c r="P1101" s="14"/>
      <c r="Q1101" s="14"/>
      <c r="R1101" s="23"/>
      <c r="S1101" s="24"/>
      <c r="T1101" s="25"/>
      <c r="U1101" s="14"/>
      <c r="V1101" s="14"/>
      <c r="W1101" s="24"/>
      <c r="X1101" s="14"/>
    </row>
    <row r="1102">
      <c r="A1102" s="14"/>
      <c r="B1102" s="22"/>
      <c r="C1102" s="14"/>
      <c r="D1102" s="14"/>
      <c r="E1102" s="14"/>
      <c r="F1102" s="14"/>
      <c r="G1102" s="14"/>
      <c r="H1102" s="14"/>
      <c r="I1102" s="14"/>
      <c r="J1102" s="14"/>
      <c r="K1102" s="14"/>
      <c r="L1102" s="14"/>
      <c r="M1102" s="14"/>
      <c r="N1102" s="14"/>
      <c r="O1102" s="14"/>
      <c r="P1102" s="14"/>
      <c r="Q1102" s="14"/>
      <c r="R1102" s="23"/>
      <c r="S1102" s="24"/>
      <c r="T1102" s="25"/>
      <c r="U1102" s="14"/>
      <c r="V1102" s="14"/>
      <c r="W1102" s="24"/>
      <c r="X1102" s="14"/>
    </row>
    <row r="1103">
      <c r="A1103" s="14"/>
      <c r="B1103" s="22"/>
      <c r="C1103" s="14"/>
      <c r="D1103" s="14"/>
      <c r="E1103" s="14"/>
      <c r="F1103" s="14"/>
      <c r="G1103" s="14"/>
      <c r="H1103" s="14"/>
      <c r="I1103" s="14"/>
      <c r="J1103" s="14"/>
      <c r="K1103" s="14"/>
      <c r="L1103" s="14"/>
      <c r="M1103" s="14"/>
      <c r="N1103" s="14"/>
      <c r="O1103" s="14"/>
      <c r="P1103" s="14"/>
      <c r="Q1103" s="14"/>
      <c r="R1103" s="23"/>
      <c r="S1103" s="24"/>
      <c r="T1103" s="25"/>
      <c r="U1103" s="14"/>
      <c r="V1103" s="14"/>
      <c r="W1103" s="24"/>
      <c r="X1103" s="14"/>
    </row>
    <row r="1104">
      <c r="A1104" s="14"/>
      <c r="B1104" s="22"/>
      <c r="C1104" s="14"/>
      <c r="D1104" s="14"/>
      <c r="E1104" s="14"/>
      <c r="F1104" s="14"/>
      <c r="G1104" s="14"/>
      <c r="H1104" s="14"/>
      <c r="I1104" s="14"/>
      <c r="J1104" s="14"/>
      <c r="K1104" s="14"/>
      <c r="L1104" s="14"/>
      <c r="M1104" s="14"/>
      <c r="N1104" s="14"/>
      <c r="O1104" s="14"/>
      <c r="P1104" s="14"/>
      <c r="Q1104" s="14"/>
      <c r="R1104" s="23"/>
      <c r="S1104" s="24"/>
      <c r="T1104" s="25"/>
      <c r="U1104" s="14"/>
      <c r="V1104" s="14"/>
      <c r="W1104" s="24"/>
      <c r="X1104" s="14"/>
    </row>
    <row r="1105">
      <c r="A1105" s="14"/>
      <c r="B1105" s="22"/>
      <c r="C1105" s="14"/>
      <c r="D1105" s="14"/>
      <c r="E1105" s="14"/>
      <c r="F1105" s="14"/>
      <c r="G1105" s="14"/>
      <c r="H1105" s="14"/>
      <c r="I1105" s="14"/>
      <c r="J1105" s="14"/>
      <c r="K1105" s="14"/>
      <c r="L1105" s="14"/>
      <c r="M1105" s="14"/>
      <c r="N1105" s="14"/>
      <c r="O1105" s="14"/>
      <c r="P1105" s="14"/>
      <c r="Q1105" s="14"/>
      <c r="R1105" s="23"/>
      <c r="S1105" s="24"/>
      <c r="T1105" s="25"/>
      <c r="U1105" s="14"/>
      <c r="V1105" s="14"/>
      <c r="W1105" s="24"/>
      <c r="X1105" s="14"/>
    </row>
    <row r="1106">
      <c r="A1106" s="14"/>
      <c r="B1106" s="22"/>
      <c r="C1106" s="14"/>
      <c r="D1106" s="14"/>
      <c r="E1106" s="14"/>
      <c r="F1106" s="14"/>
      <c r="G1106" s="14"/>
      <c r="H1106" s="14"/>
      <c r="I1106" s="14"/>
      <c r="J1106" s="14"/>
      <c r="K1106" s="14"/>
      <c r="L1106" s="14"/>
      <c r="M1106" s="14"/>
      <c r="N1106" s="14"/>
      <c r="O1106" s="14"/>
      <c r="P1106" s="14"/>
      <c r="Q1106" s="14"/>
      <c r="R1106" s="23"/>
      <c r="S1106" s="24"/>
      <c r="T1106" s="25"/>
      <c r="U1106" s="14"/>
      <c r="V1106" s="14"/>
      <c r="W1106" s="24"/>
      <c r="X1106" s="14"/>
    </row>
    <row r="1107">
      <c r="A1107" s="14"/>
      <c r="B1107" s="22"/>
      <c r="C1107" s="14"/>
      <c r="D1107" s="14"/>
      <c r="E1107" s="14"/>
      <c r="F1107" s="14"/>
      <c r="G1107" s="14"/>
      <c r="H1107" s="14"/>
      <c r="I1107" s="14"/>
      <c r="J1107" s="14"/>
      <c r="K1107" s="14"/>
      <c r="L1107" s="14"/>
      <c r="M1107" s="14"/>
      <c r="N1107" s="14"/>
      <c r="O1107" s="14"/>
      <c r="P1107" s="14"/>
      <c r="Q1107" s="14"/>
      <c r="R1107" s="23"/>
      <c r="S1107" s="24"/>
      <c r="T1107" s="25"/>
      <c r="U1107" s="14"/>
      <c r="V1107" s="14"/>
      <c r="W1107" s="24"/>
      <c r="X1107" s="14"/>
    </row>
    <row r="1108">
      <c r="A1108" s="14"/>
      <c r="B1108" s="22"/>
      <c r="C1108" s="14"/>
      <c r="D1108" s="14"/>
      <c r="E1108" s="14"/>
      <c r="F1108" s="14"/>
      <c r="G1108" s="14"/>
      <c r="H1108" s="14"/>
      <c r="I1108" s="14"/>
      <c r="J1108" s="14"/>
      <c r="K1108" s="14"/>
      <c r="L1108" s="14"/>
      <c r="M1108" s="14"/>
      <c r="N1108" s="14"/>
      <c r="O1108" s="14"/>
      <c r="P1108" s="14"/>
      <c r="Q1108" s="14"/>
      <c r="R1108" s="23"/>
      <c r="S1108" s="24"/>
      <c r="T1108" s="25"/>
      <c r="U1108" s="14"/>
      <c r="V1108" s="14"/>
      <c r="W1108" s="24"/>
      <c r="X1108" s="14"/>
    </row>
    <row r="1109">
      <c r="A1109" s="14"/>
      <c r="B1109" s="22"/>
      <c r="C1109" s="14"/>
      <c r="D1109" s="14"/>
      <c r="E1109" s="14"/>
      <c r="F1109" s="14"/>
      <c r="G1109" s="14"/>
      <c r="H1109" s="14"/>
      <c r="I1109" s="14"/>
      <c r="J1109" s="14"/>
      <c r="K1109" s="14"/>
      <c r="L1109" s="14"/>
      <c r="M1109" s="14"/>
      <c r="N1109" s="14"/>
      <c r="O1109" s="14"/>
      <c r="P1109" s="14"/>
      <c r="Q1109" s="14"/>
      <c r="R1109" s="23"/>
      <c r="S1109" s="24"/>
      <c r="T1109" s="25"/>
      <c r="U1109" s="14"/>
      <c r="V1109" s="14"/>
      <c r="W1109" s="24"/>
      <c r="X1109" s="14"/>
    </row>
    <row r="1110">
      <c r="A1110" s="14"/>
      <c r="B1110" s="22"/>
      <c r="C1110" s="14"/>
      <c r="D1110" s="14"/>
      <c r="E1110" s="14"/>
      <c r="F1110" s="14"/>
      <c r="G1110" s="14"/>
      <c r="H1110" s="14"/>
      <c r="I1110" s="14"/>
      <c r="J1110" s="14"/>
      <c r="K1110" s="14"/>
      <c r="L1110" s="14"/>
      <c r="M1110" s="14"/>
      <c r="N1110" s="14"/>
      <c r="O1110" s="14"/>
      <c r="P1110" s="14"/>
      <c r="Q1110" s="14"/>
      <c r="R1110" s="23"/>
      <c r="S1110" s="24"/>
      <c r="T1110" s="25"/>
      <c r="U1110" s="14"/>
      <c r="V1110" s="14"/>
      <c r="W1110" s="24"/>
      <c r="X1110" s="14"/>
    </row>
    <row r="1111">
      <c r="A1111" s="14"/>
      <c r="B1111" s="22"/>
      <c r="C1111" s="14"/>
      <c r="D1111" s="14"/>
      <c r="E1111" s="14"/>
      <c r="F1111" s="14"/>
      <c r="G1111" s="14"/>
      <c r="H1111" s="14"/>
      <c r="I1111" s="14"/>
      <c r="J1111" s="14"/>
      <c r="K1111" s="14"/>
      <c r="L1111" s="14"/>
      <c r="M1111" s="14"/>
      <c r="N1111" s="14"/>
      <c r="O1111" s="14"/>
      <c r="P1111" s="14"/>
      <c r="Q1111" s="14"/>
      <c r="R1111" s="23"/>
      <c r="S1111" s="24"/>
      <c r="T1111" s="25"/>
      <c r="U1111" s="14"/>
      <c r="V1111" s="14"/>
      <c r="W1111" s="24"/>
      <c r="X1111" s="14"/>
    </row>
    <row r="1112">
      <c r="A1112" s="14"/>
      <c r="B1112" s="22"/>
      <c r="C1112" s="14"/>
      <c r="D1112" s="14"/>
      <c r="E1112" s="14"/>
      <c r="F1112" s="14"/>
      <c r="G1112" s="14"/>
      <c r="H1112" s="14"/>
      <c r="I1112" s="14"/>
      <c r="J1112" s="14"/>
      <c r="K1112" s="14"/>
      <c r="L1112" s="14"/>
      <c r="M1112" s="14"/>
      <c r="N1112" s="14"/>
      <c r="O1112" s="14"/>
      <c r="P1112" s="14"/>
      <c r="Q1112" s="14"/>
      <c r="R1112" s="23"/>
      <c r="S1112" s="24"/>
      <c r="T1112" s="25"/>
      <c r="U1112" s="14"/>
      <c r="V1112" s="14"/>
      <c r="W1112" s="24"/>
      <c r="X1112" s="14"/>
    </row>
    <row r="1113">
      <c r="A1113" s="14"/>
      <c r="B1113" s="22"/>
      <c r="C1113" s="14"/>
      <c r="D1113" s="14"/>
      <c r="E1113" s="14"/>
      <c r="F1113" s="14"/>
      <c r="G1113" s="14"/>
      <c r="H1113" s="14"/>
      <c r="I1113" s="14"/>
      <c r="J1113" s="14"/>
      <c r="K1113" s="14"/>
      <c r="L1113" s="14"/>
      <c r="M1113" s="14"/>
      <c r="N1113" s="14"/>
      <c r="O1113" s="14"/>
      <c r="P1113" s="14"/>
      <c r="Q1113" s="14"/>
      <c r="R1113" s="23"/>
      <c r="S1113" s="24"/>
      <c r="T1113" s="25"/>
      <c r="U1113" s="14"/>
      <c r="V1113" s="14"/>
      <c r="W1113" s="24"/>
      <c r="X1113" s="14"/>
    </row>
    <row r="1114">
      <c r="A1114" s="14"/>
      <c r="B1114" s="22"/>
      <c r="C1114" s="14"/>
      <c r="D1114" s="14"/>
      <c r="E1114" s="14"/>
      <c r="F1114" s="14"/>
      <c r="G1114" s="14"/>
      <c r="H1114" s="14"/>
      <c r="I1114" s="14"/>
      <c r="J1114" s="14"/>
      <c r="K1114" s="14"/>
      <c r="L1114" s="14"/>
      <c r="M1114" s="14"/>
      <c r="N1114" s="14"/>
      <c r="O1114" s="14"/>
      <c r="P1114" s="14"/>
      <c r="Q1114" s="14"/>
      <c r="R1114" s="23"/>
      <c r="S1114" s="24"/>
      <c r="T1114" s="25"/>
      <c r="U1114" s="14"/>
      <c r="V1114" s="14"/>
      <c r="W1114" s="24"/>
      <c r="X1114" s="14"/>
    </row>
    <row r="1115">
      <c r="A1115" s="14"/>
      <c r="B1115" s="22"/>
      <c r="C1115" s="14"/>
      <c r="D1115" s="14"/>
      <c r="E1115" s="14"/>
      <c r="F1115" s="14"/>
      <c r="G1115" s="14"/>
      <c r="H1115" s="14"/>
      <c r="I1115" s="14"/>
      <c r="J1115" s="14"/>
      <c r="K1115" s="14"/>
      <c r="L1115" s="14"/>
      <c r="M1115" s="14"/>
      <c r="N1115" s="14"/>
      <c r="O1115" s="14"/>
      <c r="P1115" s="14"/>
      <c r="Q1115" s="14"/>
      <c r="R1115" s="23"/>
      <c r="S1115" s="24"/>
      <c r="T1115" s="25"/>
      <c r="U1115" s="14"/>
      <c r="V1115" s="14"/>
      <c r="W1115" s="24"/>
      <c r="X1115" s="14"/>
    </row>
    <row r="1116">
      <c r="A1116" s="14"/>
      <c r="B1116" s="22"/>
      <c r="C1116" s="14"/>
      <c r="D1116" s="14"/>
      <c r="E1116" s="14"/>
      <c r="F1116" s="14"/>
      <c r="G1116" s="14"/>
      <c r="H1116" s="14"/>
      <c r="I1116" s="14"/>
      <c r="J1116" s="14"/>
      <c r="K1116" s="14"/>
      <c r="L1116" s="14"/>
      <c r="M1116" s="14"/>
      <c r="N1116" s="14"/>
      <c r="O1116" s="14"/>
      <c r="P1116" s="14"/>
      <c r="Q1116" s="14"/>
      <c r="R1116" s="23"/>
      <c r="S1116" s="24"/>
      <c r="T1116" s="25"/>
      <c r="U1116" s="14"/>
      <c r="V1116" s="14"/>
      <c r="W1116" s="24"/>
      <c r="X1116" s="14"/>
    </row>
    <row r="1117">
      <c r="A1117" s="14"/>
      <c r="B1117" s="22"/>
      <c r="C1117" s="14"/>
      <c r="D1117" s="14"/>
      <c r="E1117" s="14"/>
      <c r="F1117" s="14"/>
      <c r="G1117" s="14"/>
      <c r="H1117" s="14"/>
      <c r="I1117" s="14"/>
      <c r="J1117" s="14"/>
      <c r="K1117" s="14"/>
      <c r="L1117" s="14"/>
      <c r="M1117" s="14"/>
      <c r="N1117" s="14"/>
      <c r="O1117" s="14"/>
      <c r="P1117" s="14"/>
      <c r="Q1117" s="14"/>
      <c r="R1117" s="23"/>
      <c r="S1117" s="24"/>
      <c r="T1117" s="25"/>
      <c r="U1117" s="14"/>
      <c r="V1117" s="14"/>
      <c r="W1117" s="24"/>
      <c r="X1117" s="14"/>
    </row>
    <row r="1118">
      <c r="A1118" s="14"/>
      <c r="B1118" s="22"/>
      <c r="C1118" s="14"/>
      <c r="D1118" s="14"/>
      <c r="E1118" s="14"/>
      <c r="F1118" s="14"/>
      <c r="G1118" s="14"/>
      <c r="H1118" s="14"/>
      <c r="I1118" s="14"/>
      <c r="J1118" s="14"/>
      <c r="K1118" s="14"/>
      <c r="L1118" s="14"/>
      <c r="M1118" s="14"/>
      <c r="N1118" s="14"/>
      <c r="O1118" s="14"/>
      <c r="P1118" s="14"/>
      <c r="Q1118" s="14"/>
      <c r="R1118" s="23"/>
      <c r="S1118" s="24"/>
      <c r="T1118" s="25"/>
      <c r="U1118" s="14"/>
      <c r="V1118" s="14"/>
      <c r="W1118" s="24"/>
      <c r="X1118" s="14"/>
    </row>
    <row r="1119">
      <c r="A1119" s="14"/>
      <c r="B1119" s="22"/>
      <c r="C1119" s="14"/>
      <c r="D1119" s="14"/>
      <c r="E1119" s="14"/>
      <c r="F1119" s="14"/>
      <c r="G1119" s="14"/>
      <c r="H1119" s="14"/>
      <c r="I1119" s="14"/>
      <c r="J1119" s="14"/>
      <c r="K1119" s="14"/>
      <c r="L1119" s="14"/>
      <c r="M1119" s="14"/>
      <c r="N1119" s="14"/>
      <c r="O1119" s="14"/>
      <c r="P1119" s="14"/>
      <c r="Q1119" s="14"/>
      <c r="R1119" s="23"/>
      <c r="S1119" s="24"/>
      <c r="T1119" s="25"/>
      <c r="U1119" s="14"/>
      <c r="V1119" s="14"/>
      <c r="W1119" s="24"/>
      <c r="X1119" s="14"/>
    </row>
    <row r="1120">
      <c r="A1120" s="14"/>
      <c r="B1120" s="22"/>
      <c r="C1120" s="14"/>
      <c r="D1120" s="14"/>
      <c r="E1120" s="14"/>
      <c r="F1120" s="14"/>
      <c r="G1120" s="14"/>
      <c r="H1120" s="14"/>
      <c r="I1120" s="14"/>
      <c r="J1120" s="14"/>
      <c r="K1120" s="14"/>
      <c r="L1120" s="14"/>
      <c r="M1120" s="14"/>
      <c r="N1120" s="14"/>
      <c r="O1120" s="14"/>
      <c r="P1120" s="14"/>
      <c r="Q1120" s="14"/>
      <c r="R1120" s="23"/>
      <c r="S1120" s="24"/>
      <c r="T1120" s="25"/>
      <c r="U1120" s="14"/>
      <c r="V1120" s="14"/>
      <c r="W1120" s="24"/>
      <c r="X1120" s="14"/>
    </row>
    <row r="1121">
      <c r="A1121" s="14"/>
      <c r="B1121" s="22"/>
      <c r="C1121" s="14"/>
      <c r="D1121" s="14"/>
      <c r="E1121" s="14"/>
      <c r="F1121" s="14"/>
      <c r="G1121" s="14"/>
      <c r="H1121" s="14"/>
      <c r="I1121" s="14"/>
      <c r="J1121" s="14"/>
      <c r="K1121" s="14"/>
      <c r="L1121" s="14"/>
      <c r="M1121" s="14"/>
      <c r="N1121" s="14"/>
      <c r="O1121" s="14"/>
      <c r="P1121" s="14"/>
      <c r="Q1121" s="14"/>
      <c r="R1121" s="23"/>
      <c r="S1121" s="24"/>
      <c r="T1121" s="25"/>
      <c r="U1121" s="14"/>
      <c r="V1121" s="14"/>
      <c r="W1121" s="24"/>
      <c r="X1121" s="14"/>
    </row>
    <row r="1122">
      <c r="A1122" s="14"/>
      <c r="B1122" s="22"/>
      <c r="C1122" s="14"/>
      <c r="D1122" s="14"/>
      <c r="E1122" s="14"/>
      <c r="F1122" s="14"/>
      <c r="G1122" s="14"/>
      <c r="H1122" s="14"/>
      <c r="I1122" s="14"/>
      <c r="J1122" s="14"/>
      <c r="K1122" s="14"/>
      <c r="L1122" s="14"/>
      <c r="M1122" s="14"/>
      <c r="N1122" s="14"/>
      <c r="O1122" s="14"/>
      <c r="P1122" s="14"/>
      <c r="Q1122" s="14"/>
      <c r="R1122" s="23"/>
      <c r="S1122" s="24"/>
      <c r="T1122" s="25"/>
      <c r="U1122" s="14"/>
      <c r="V1122" s="14"/>
      <c r="W1122" s="24"/>
      <c r="X1122" s="14"/>
    </row>
    <row r="1123">
      <c r="A1123" s="14"/>
      <c r="B1123" s="22"/>
      <c r="C1123" s="14"/>
      <c r="D1123" s="14"/>
      <c r="E1123" s="14"/>
      <c r="F1123" s="14"/>
      <c r="G1123" s="14"/>
      <c r="H1123" s="14"/>
      <c r="I1123" s="14"/>
      <c r="J1123" s="14"/>
      <c r="K1123" s="14"/>
      <c r="L1123" s="14"/>
      <c r="M1123" s="14"/>
      <c r="N1123" s="14"/>
      <c r="O1123" s="14"/>
      <c r="P1123" s="14"/>
      <c r="Q1123" s="14"/>
      <c r="R1123" s="23"/>
      <c r="S1123" s="24"/>
      <c r="T1123" s="25"/>
      <c r="U1123" s="14"/>
      <c r="V1123" s="14"/>
      <c r="W1123" s="24"/>
      <c r="X1123" s="14"/>
    </row>
    <row r="1124">
      <c r="A1124" s="14"/>
      <c r="B1124" s="22"/>
      <c r="C1124" s="14"/>
      <c r="D1124" s="14"/>
      <c r="E1124" s="14"/>
      <c r="F1124" s="14"/>
      <c r="G1124" s="14"/>
      <c r="H1124" s="14"/>
      <c r="I1124" s="14"/>
      <c r="J1124" s="14"/>
      <c r="K1124" s="14"/>
      <c r="L1124" s="14"/>
      <c r="M1124" s="14"/>
      <c r="N1124" s="14"/>
      <c r="O1124" s="14"/>
      <c r="P1124" s="14"/>
      <c r="Q1124" s="14"/>
      <c r="R1124" s="23"/>
      <c r="S1124" s="24"/>
      <c r="T1124" s="25"/>
      <c r="U1124" s="14"/>
      <c r="V1124" s="14"/>
      <c r="W1124" s="24"/>
      <c r="X1124" s="14"/>
    </row>
    <row r="1125">
      <c r="A1125" s="14"/>
      <c r="B1125" s="22"/>
      <c r="C1125" s="14"/>
      <c r="D1125" s="14"/>
      <c r="E1125" s="14"/>
      <c r="F1125" s="14"/>
      <c r="G1125" s="14"/>
      <c r="H1125" s="14"/>
      <c r="I1125" s="14"/>
      <c r="J1125" s="14"/>
      <c r="K1125" s="14"/>
      <c r="L1125" s="14"/>
      <c r="M1125" s="14"/>
      <c r="N1125" s="14"/>
      <c r="O1125" s="14"/>
      <c r="P1125" s="14"/>
      <c r="Q1125" s="14"/>
      <c r="R1125" s="23"/>
      <c r="S1125" s="24"/>
      <c r="T1125" s="25"/>
      <c r="U1125" s="14"/>
      <c r="V1125" s="14"/>
      <c r="W1125" s="24"/>
      <c r="X1125" s="14"/>
    </row>
    <row r="1126">
      <c r="A1126" s="14"/>
      <c r="B1126" s="22"/>
      <c r="C1126" s="14"/>
      <c r="D1126" s="14"/>
      <c r="E1126" s="14"/>
      <c r="F1126" s="14"/>
      <c r="G1126" s="14"/>
      <c r="H1126" s="14"/>
      <c r="I1126" s="14"/>
      <c r="J1126" s="14"/>
      <c r="K1126" s="14"/>
      <c r="L1126" s="14"/>
      <c r="M1126" s="14"/>
      <c r="N1126" s="14"/>
      <c r="O1126" s="14"/>
      <c r="P1126" s="14"/>
      <c r="Q1126" s="14"/>
      <c r="R1126" s="23"/>
      <c r="S1126" s="24"/>
      <c r="T1126" s="25"/>
      <c r="U1126" s="14"/>
      <c r="V1126" s="14"/>
      <c r="W1126" s="24"/>
      <c r="X1126" s="14"/>
    </row>
    <row r="1127">
      <c r="A1127" s="14"/>
      <c r="B1127" s="22"/>
      <c r="C1127" s="14"/>
      <c r="D1127" s="14"/>
      <c r="E1127" s="14"/>
      <c r="F1127" s="14"/>
      <c r="G1127" s="14"/>
      <c r="H1127" s="14"/>
      <c r="I1127" s="14"/>
      <c r="J1127" s="14"/>
      <c r="K1127" s="14"/>
      <c r="L1127" s="14"/>
      <c r="M1127" s="14"/>
      <c r="N1127" s="14"/>
      <c r="O1127" s="14"/>
      <c r="P1127" s="14"/>
      <c r="Q1127" s="14"/>
      <c r="R1127" s="23"/>
      <c r="S1127" s="24"/>
      <c r="T1127" s="25"/>
      <c r="U1127" s="14"/>
      <c r="V1127" s="14"/>
      <c r="W1127" s="24"/>
      <c r="X1127" s="14"/>
    </row>
    <row r="1128">
      <c r="A1128" s="14"/>
      <c r="B1128" s="22"/>
      <c r="C1128" s="14"/>
      <c r="D1128" s="14"/>
      <c r="E1128" s="14"/>
      <c r="F1128" s="14"/>
      <c r="G1128" s="14"/>
      <c r="H1128" s="14"/>
      <c r="I1128" s="14"/>
      <c r="J1128" s="14"/>
      <c r="K1128" s="14"/>
      <c r="L1128" s="14"/>
      <c r="M1128" s="14"/>
      <c r="N1128" s="14"/>
      <c r="O1128" s="14"/>
      <c r="P1128" s="14"/>
      <c r="Q1128" s="14"/>
      <c r="R1128" s="23"/>
      <c r="S1128" s="24"/>
      <c r="T1128" s="25"/>
      <c r="U1128" s="14"/>
      <c r="V1128" s="14"/>
      <c r="W1128" s="24"/>
      <c r="X1128" s="14"/>
    </row>
    <row r="1129">
      <c r="A1129" s="14"/>
      <c r="B1129" s="22"/>
      <c r="C1129" s="14"/>
      <c r="D1129" s="14"/>
      <c r="E1129" s="14"/>
      <c r="F1129" s="14"/>
      <c r="G1129" s="14"/>
      <c r="H1129" s="14"/>
      <c r="I1129" s="14"/>
      <c r="J1129" s="14"/>
      <c r="K1129" s="14"/>
      <c r="L1129" s="14"/>
      <c r="M1129" s="14"/>
      <c r="N1129" s="14"/>
      <c r="O1129" s="14"/>
      <c r="P1129" s="14"/>
      <c r="Q1129" s="14"/>
      <c r="R1129" s="23"/>
      <c r="S1129" s="24"/>
      <c r="T1129" s="25"/>
      <c r="U1129" s="14"/>
      <c r="V1129" s="14"/>
      <c r="W1129" s="24"/>
      <c r="X1129" s="14"/>
    </row>
    <row r="1130">
      <c r="A1130" s="14"/>
      <c r="B1130" s="22"/>
      <c r="C1130" s="14"/>
      <c r="D1130" s="14"/>
      <c r="E1130" s="14"/>
      <c r="F1130" s="14"/>
      <c r="G1130" s="14"/>
      <c r="H1130" s="14"/>
      <c r="I1130" s="14"/>
      <c r="J1130" s="14"/>
      <c r="K1130" s="14"/>
      <c r="L1130" s="14"/>
      <c r="M1130" s="14"/>
      <c r="N1130" s="14"/>
      <c r="O1130" s="14"/>
      <c r="P1130" s="14"/>
      <c r="Q1130" s="14"/>
      <c r="R1130" s="23"/>
      <c r="S1130" s="24"/>
      <c r="T1130" s="25"/>
      <c r="U1130" s="14"/>
      <c r="V1130" s="14"/>
      <c r="W1130" s="24"/>
      <c r="X1130" s="14"/>
    </row>
    <row r="1131">
      <c r="A1131" s="14"/>
      <c r="B1131" s="22"/>
      <c r="C1131" s="14"/>
      <c r="D1131" s="14"/>
      <c r="E1131" s="14"/>
      <c r="F1131" s="14"/>
      <c r="G1131" s="14"/>
      <c r="H1131" s="14"/>
      <c r="I1131" s="14"/>
      <c r="J1131" s="14"/>
      <c r="K1131" s="14"/>
      <c r="L1131" s="14"/>
      <c r="M1131" s="14"/>
      <c r="N1131" s="14"/>
      <c r="O1131" s="14"/>
      <c r="P1131" s="14"/>
      <c r="Q1131" s="14"/>
      <c r="R1131" s="23"/>
      <c r="S1131" s="24"/>
      <c r="T1131" s="25"/>
      <c r="U1131" s="14"/>
      <c r="V1131" s="14"/>
      <c r="W1131" s="24"/>
      <c r="X1131" s="14"/>
    </row>
    <row r="1132">
      <c r="A1132" s="14"/>
      <c r="B1132" s="22"/>
      <c r="C1132" s="14"/>
      <c r="D1132" s="14"/>
      <c r="E1132" s="14"/>
      <c r="F1132" s="14"/>
      <c r="G1132" s="14"/>
      <c r="H1132" s="14"/>
      <c r="I1132" s="14"/>
      <c r="J1132" s="14"/>
      <c r="K1132" s="14"/>
      <c r="L1132" s="14"/>
      <c r="M1132" s="14"/>
      <c r="N1132" s="14"/>
      <c r="O1132" s="14"/>
      <c r="P1132" s="14"/>
      <c r="Q1132" s="14"/>
      <c r="R1132" s="23"/>
      <c r="S1132" s="24"/>
      <c r="T1132" s="25"/>
      <c r="U1132" s="14"/>
      <c r="V1132" s="14"/>
      <c r="W1132" s="24"/>
      <c r="X1132" s="14"/>
    </row>
    <row r="1133">
      <c r="A1133" s="14"/>
      <c r="B1133" s="22"/>
      <c r="C1133" s="14"/>
      <c r="D1133" s="14"/>
      <c r="E1133" s="14"/>
      <c r="F1133" s="14"/>
      <c r="G1133" s="14"/>
      <c r="H1133" s="14"/>
      <c r="I1133" s="14"/>
      <c r="J1133" s="14"/>
      <c r="K1133" s="14"/>
      <c r="L1133" s="14"/>
      <c r="M1133" s="14"/>
      <c r="N1133" s="14"/>
      <c r="O1133" s="14"/>
      <c r="P1133" s="14"/>
      <c r="Q1133" s="14"/>
      <c r="R1133" s="23"/>
      <c r="S1133" s="24"/>
      <c r="T1133" s="25"/>
      <c r="U1133" s="14"/>
      <c r="V1133" s="14"/>
      <c r="W1133" s="24"/>
      <c r="X1133" s="14"/>
    </row>
    <row r="1134">
      <c r="A1134" s="14"/>
      <c r="B1134" s="22"/>
      <c r="C1134" s="14"/>
      <c r="D1134" s="14"/>
      <c r="E1134" s="14"/>
      <c r="F1134" s="14"/>
      <c r="G1134" s="14"/>
      <c r="H1134" s="14"/>
      <c r="I1134" s="14"/>
      <c r="J1134" s="14"/>
      <c r="K1134" s="14"/>
      <c r="L1134" s="14"/>
      <c r="M1134" s="14"/>
      <c r="N1134" s="14"/>
      <c r="O1134" s="14"/>
      <c r="P1134" s="14"/>
      <c r="Q1134" s="14"/>
      <c r="R1134" s="23"/>
      <c r="S1134" s="24"/>
      <c r="T1134" s="25"/>
      <c r="U1134" s="14"/>
      <c r="V1134" s="14"/>
      <c r="W1134" s="24"/>
      <c r="X1134" s="14"/>
    </row>
    <row r="1135">
      <c r="A1135" s="14"/>
      <c r="B1135" s="22"/>
      <c r="C1135" s="14"/>
      <c r="D1135" s="14"/>
      <c r="E1135" s="14"/>
      <c r="F1135" s="14"/>
      <c r="G1135" s="14"/>
      <c r="H1135" s="14"/>
      <c r="I1135" s="14"/>
      <c r="J1135" s="14"/>
      <c r="K1135" s="14"/>
      <c r="L1135" s="14"/>
      <c r="M1135" s="14"/>
      <c r="N1135" s="14"/>
      <c r="O1135" s="14"/>
      <c r="P1135" s="14"/>
      <c r="Q1135" s="14"/>
      <c r="R1135" s="23"/>
      <c r="S1135" s="24"/>
      <c r="T1135" s="25"/>
      <c r="U1135" s="14"/>
      <c r="V1135" s="14"/>
      <c r="W1135" s="24"/>
      <c r="X1135" s="14"/>
    </row>
    <row r="1136">
      <c r="A1136" s="14"/>
      <c r="B1136" s="22"/>
      <c r="C1136" s="14"/>
      <c r="D1136" s="14"/>
      <c r="E1136" s="14"/>
      <c r="F1136" s="14"/>
      <c r="G1136" s="14"/>
      <c r="H1136" s="14"/>
      <c r="I1136" s="14"/>
      <c r="J1136" s="14"/>
      <c r="K1136" s="14"/>
      <c r="L1136" s="14"/>
      <c r="M1136" s="14"/>
      <c r="N1136" s="14"/>
      <c r="O1136" s="14"/>
      <c r="P1136" s="14"/>
      <c r="Q1136" s="14"/>
      <c r="R1136" s="23"/>
      <c r="S1136" s="24"/>
      <c r="T1136" s="25"/>
      <c r="U1136" s="14"/>
      <c r="V1136" s="14"/>
      <c r="W1136" s="24"/>
      <c r="X1136" s="14"/>
    </row>
    <row r="1137">
      <c r="A1137" s="14"/>
      <c r="B1137" s="22"/>
      <c r="C1137" s="14"/>
      <c r="D1137" s="14"/>
      <c r="E1137" s="14"/>
      <c r="F1137" s="14"/>
      <c r="G1137" s="14"/>
      <c r="H1137" s="14"/>
      <c r="I1137" s="14"/>
      <c r="J1137" s="14"/>
      <c r="K1137" s="14"/>
      <c r="L1137" s="14"/>
      <c r="M1137" s="14"/>
      <c r="N1137" s="14"/>
      <c r="O1137" s="14"/>
      <c r="P1137" s="14"/>
      <c r="Q1137" s="14"/>
      <c r="R1137" s="23"/>
      <c r="S1137" s="24"/>
      <c r="T1137" s="25"/>
      <c r="U1137" s="14"/>
      <c r="V1137" s="14"/>
      <c r="W1137" s="24"/>
      <c r="X1137" s="14"/>
    </row>
    <row r="1138">
      <c r="A1138" s="14"/>
      <c r="B1138" s="22"/>
      <c r="C1138" s="14"/>
      <c r="D1138" s="14"/>
      <c r="E1138" s="14"/>
      <c r="F1138" s="14"/>
      <c r="G1138" s="14"/>
      <c r="H1138" s="14"/>
      <c r="I1138" s="14"/>
      <c r="J1138" s="14"/>
      <c r="K1138" s="14"/>
      <c r="L1138" s="14"/>
      <c r="M1138" s="14"/>
      <c r="N1138" s="14"/>
      <c r="O1138" s="14"/>
      <c r="P1138" s="14"/>
      <c r="Q1138" s="14"/>
      <c r="R1138" s="23"/>
      <c r="S1138" s="24"/>
      <c r="T1138" s="25"/>
      <c r="U1138" s="14"/>
      <c r="V1138" s="14"/>
      <c r="W1138" s="24"/>
      <c r="X1138" s="14"/>
    </row>
    <row r="1139">
      <c r="A1139" s="14"/>
      <c r="B1139" s="22"/>
      <c r="C1139" s="14"/>
      <c r="D1139" s="14"/>
      <c r="E1139" s="14"/>
      <c r="F1139" s="14"/>
      <c r="G1139" s="14"/>
      <c r="H1139" s="14"/>
      <c r="I1139" s="14"/>
      <c r="J1139" s="14"/>
      <c r="K1139" s="14"/>
      <c r="L1139" s="14"/>
      <c r="M1139" s="14"/>
      <c r="N1139" s="14"/>
      <c r="O1139" s="14"/>
      <c r="P1139" s="14"/>
      <c r="Q1139" s="14"/>
      <c r="R1139" s="23"/>
      <c r="S1139" s="24"/>
      <c r="T1139" s="25"/>
      <c r="U1139" s="14"/>
      <c r="V1139" s="14"/>
      <c r="W1139" s="24"/>
      <c r="X1139" s="14"/>
    </row>
    <row r="1140">
      <c r="A1140" s="14"/>
      <c r="B1140" s="22"/>
      <c r="C1140" s="14"/>
      <c r="D1140" s="14"/>
      <c r="E1140" s="14"/>
      <c r="F1140" s="14"/>
      <c r="G1140" s="14"/>
      <c r="H1140" s="14"/>
      <c r="I1140" s="14"/>
      <c r="J1140" s="14"/>
      <c r="K1140" s="14"/>
      <c r="L1140" s="14"/>
      <c r="M1140" s="14"/>
      <c r="N1140" s="14"/>
      <c r="O1140" s="14"/>
      <c r="P1140" s="14"/>
      <c r="Q1140" s="14"/>
      <c r="R1140" s="23"/>
      <c r="S1140" s="24"/>
      <c r="T1140" s="25"/>
      <c r="U1140" s="14"/>
      <c r="V1140" s="14"/>
      <c r="W1140" s="24"/>
      <c r="X1140" s="14"/>
    </row>
    <row r="1141">
      <c r="A1141" s="14"/>
      <c r="B1141" s="22"/>
      <c r="C1141" s="14"/>
      <c r="D1141" s="14"/>
      <c r="E1141" s="14"/>
      <c r="F1141" s="14"/>
      <c r="G1141" s="14"/>
      <c r="H1141" s="14"/>
      <c r="I1141" s="14"/>
      <c r="J1141" s="14"/>
      <c r="K1141" s="14"/>
      <c r="L1141" s="14"/>
      <c r="M1141" s="14"/>
      <c r="N1141" s="14"/>
      <c r="O1141" s="14"/>
      <c r="P1141" s="14"/>
      <c r="Q1141" s="14"/>
      <c r="R1141" s="23"/>
      <c r="S1141" s="24"/>
      <c r="T1141" s="25"/>
      <c r="U1141" s="14"/>
      <c r="V1141" s="14"/>
      <c r="W1141" s="24"/>
      <c r="X1141" s="14"/>
    </row>
    <row r="1142">
      <c r="A1142" s="14"/>
      <c r="B1142" s="22"/>
      <c r="C1142" s="14"/>
      <c r="D1142" s="14"/>
      <c r="E1142" s="14"/>
      <c r="F1142" s="14"/>
      <c r="G1142" s="14"/>
      <c r="H1142" s="14"/>
      <c r="I1142" s="14"/>
      <c r="J1142" s="14"/>
      <c r="K1142" s="14"/>
      <c r="L1142" s="14"/>
      <c r="M1142" s="14"/>
      <c r="N1142" s="14"/>
      <c r="O1142" s="14"/>
      <c r="P1142" s="14"/>
      <c r="Q1142" s="14"/>
      <c r="R1142" s="23"/>
      <c r="S1142" s="24"/>
      <c r="T1142" s="25"/>
      <c r="U1142" s="14"/>
      <c r="V1142" s="14"/>
      <c r="W1142" s="24"/>
      <c r="X1142" s="14"/>
    </row>
    <row r="1143">
      <c r="A1143" s="14"/>
      <c r="B1143" s="22"/>
      <c r="C1143" s="14"/>
      <c r="D1143" s="14"/>
      <c r="E1143" s="14"/>
      <c r="F1143" s="14"/>
      <c r="G1143" s="14"/>
      <c r="H1143" s="14"/>
      <c r="I1143" s="14"/>
      <c r="J1143" s="14"/>
      <c r="K1143" s="14"/>
      <c r="L1143" s="14"/>
      <c r="M1143" s="14"/>
      <c r="N1143" s="14"/>
      <c r="O1143" s="14"/>
      <c r="P1143" s="14"/>
      <c r="Q1143" s="14"/>
      <c r="R1143" s="23"/>
      <c r="S1143" s="24"/>
      <c r="T1143" s="25"/>
      <c r="U1143" s="14"/>
      <c r="V1143" s="14"/>
      <c r="W1143" s="24"/>
      <c r="X1143" s="14"/>
    </row>
    <row r="1144">
      <c r="A1144" s="14"/>
      <c r="B1144" s="22"/>
      <c r="C1144" s="14"/>
      <c r="D1144" s="14"/>
      <c r="E1144" s="14"/>
      <c r="F1144" s="14"/>
      <c r="G1144" s="14"/>
      <c r="H1144" s="14"/>
      <c r="I1144" s="14"/>
      <c r="J1144" s="14"/>
      <c r="K1144" s="14"/>
      <c r="L1144" s="14"/>
      <c r="M1144" s="14"/>
      <c r="N1144" s="14"/>
      <c r="O1144" s="14"/>
      <c r="P1144" s="14"/>
      <c r="Q1144" s="14"/>
      <c r="R1144" s="23"/>
      <c r="S1144" s="24"/>
      <c r="T1144" s="25"/>
      <c r="U1144" s="14"/>
      <c r="V1144" s="14"/>
      <c r="W1144" s="24"/>
      <c r="X1144" s="14"/>
    </row>
    <row r="1145">
      <c r="A1145" s="14"/>
      <c r="B1145" s="22"/>
      <c r="C1145" s="14"/>
      <c r="D1145" s="14"/>
      <c r="E1145" s="14"/>
      <c r="F1145" s="14"/>
      <c r="G1145" s="14"/>
      <c r="H1145" s="14"/>
      <c r="I1145" s="14"/>
      <c r="J1145" s="14"/>
      <c r="K1145" s="14"/>
      <c r="L1145" s="14"/>
      <c r="M1145" s="14"/>
      <c r="N1145" s="14"/>
      <c r="O1145" s="14"/>
      <c r="P1145" s="14"/>
      <c r="Q1145" s="14"/>
      <c r="R1145" s="23"/>
      <c r="S1145" s="24"/>
      <c r="T1145" s="25"/>
      <c r="U1145" s="14"/>
      <c r="V1145" s="14"/>
      <c r="W1145" s="24"/>
      <c r="X1145" s="14"/>
    </row>
    <row r="1146">
      <c r="A1146" s="14"/>
      <c r="B1146" s="22"/>
      <c r="C1146" s="14"/>
      <c r="D1146" s="14"/>
      <c r="E1146" s="14"/>
      <c r="F1146" s="14"/>
      <c r="G1146" s="14"/>
      <c r="H1146" s="14"/>
      <c r="I1146" s="14"/>
      <c r="J1146" s="14"/>
      <c r="K1146" s="14"/>
      <c r="L1146" s="14"/>
      <c r="M1146" s="14"/>
      <c r="N1146" s="14"/>
      <c r="O1146" s="14"/>
      <c r="P1146" s="14"/>
      <c r="Q1146" s="14"/>
      <c r="R1146" s="23"/>
      <c r="S1146" s="24"/>
      <c r="T1146" s="25"/>
      <c r="U1146" s="14"/>
      <c r="V1146" s="14"/>
      <c r="W1146" s="24"/>
      <c r="X1146" s="14"/>
    </row>
    <row r="1147">
      <c r="A1147" s="14"/>
      <c r="B1147" s="22"/>
      <c r="C1147" s="14"/>
      <c r="D1147" s="14"/>
      <c r="E1147" s="14"/>
      <c r="F1147" s="14"/>
      <c r="G1147" s="14"/>
      <c r="H1147" s="14"/>
      <c r="I1147" s="14"/>
      <c r="J1147" s="14"/>
      <c r="K1147" s="14"/>
      <c r="L1147" s="14"/>
      <c r="M1147" s="14"/>
      <c r="N1147" s="14"/>
      <c r="O1147" s="14"/>
      <c r="P1147" s="14"/>
      <c r="Q1147" s="14"/>
      <c r="R1147" s="23"/>
      <c r="S1147" s="24"/>
      <c r="T1147" s="25"/>
      <c r="U1147" s="14"/>
      <c r="V1147" s="14"/>
      <c r="W1147" s="24"/>
      <c r="X1147" s="14"/>
    </row>
    <row r="1148">
      <c r="A1148" s="14"/>
      <c r="B1148" s="22"/>
      <c r="C1148" s="14"/>
      <c r="D1148" s="14"/>
      <c r="E1148" s="14"/>
      <c r="F1148" s="14"/>
      <c r="G1148" s="14"/>
      <c r="H1148" s="14"/>
      <c r="I1148" s="14"/>
      <c r="J1148" s="14"/>
      <c r="K1148" s="14"/>
      <c r="L1148" s="14"/>
      <c r="M1148" s="14"/>
      <c r="N1148" s="14"/>
      <c r="O1148" s="14"/>
      <c r="P1148" s="14"/>
      <c r="Q1148" s="14"/>
      <c r="R1148" s="23"/>
      <c r="S1148" s="24"/>
      <c r="T1148" s="25"/>
      <c r="U1148" s="14"/>
      <c r="V1148" s="14"/>
      <c r="W1148" s="24"/>
      <c r="X1148" s="14"/>
    </row>
    <row r="1149">
      <c r="A1149" s="14"/>
      <c r="B1149" s="22"/>
      <c r="C1149" s="14"/>
      <c r="D1149" s="14"/>
      <c r="E1149" s="14"/>
      <c r="F1149" s="14"/>
      <c r="G1149" s="14"/>
      <c r="H1149" s="14"/>
      <c r="I1149" s="14"/>
      <c r="J1149" s="14"/>
      <c r="K1149" s="14"/>
      <c r="L1149" s="14"/>
      <c r="M1149" s="14"/>
      <c r="N1149" s="14"/>
      <c r="O1149" s="14"/>
      <c r="P1149" s="14"/>
      <c r="Q1149" s="14"/>
      <c r="R1149" s="23"/>
      <c r="S1149" s="24"/>
      <c r="T1149" s="25"/>
      <c r="U1149" s="14"/>
      <c r="V1149" s="14"/>
      <c r="W1149" s="24"/>
      <c r="X1149" s="14"/>
    </row>
    <row r="1150">
      <c r="A1150" s="14"/>
      <c r="B1150" s="22"/>
      <c r="C1150" s="14"/>
      <c r="D1150" s="14"/>
      <c r="E1150" s="14"/>
      <c r="F1150" s="14"/>
      <c r="G1150" s="14"/>
      <c r="H1150" s="14"/>
      <c r="I1150" s="14"/>
      <c r="J1150" s="14"/>
      <c r="K1150" s="14"/>
      <c r="L1150" s="14"/>
      <c r="M1150" s="14"/>
      <c r="N1150" s="14"/>
      <c r="O1150" s="14"/>
      <c r="P1150" s="14"/>
      <c r="Q1150" s="14"/>
      <c r="R1150" s="23"/>
      <c r="S1150" s="24"/>
      <c r="T1150" s="25"/>
      <c r="U1150" s="14"/>
      <c r="V1150" s="14"/>
      <c r="W1150" s="24"/>
      <c r="X1150" s="14"/>
    </row>
    <row r="1151">
      <c r="A1151" s="14"/>
      <c r="B1151" s="22"/>
      <c r="C1151" s="14"/>
      <c r="D1151" s="14"/>
      <c r="E1151" s="14"/>
      <c r="F1151" s="14"/>
      <c r="G1151" s="14"/>
      <c r="H1151" s="14"/>
      <c r="I1151" s="14"/>
      <c r="J1151" s="14"/>
      <c r="K1151" s="14"/>
      <c r="L1151" s="14"/>
      <c r="M1151" s="14"/>
      <c r="N1151" s="14"/>
      <c r="O1151" s="14"/>
      <c r="P1151" s="14"/>
      <c r="Q1151" s="14"/>
      <c r="R1151" s="23"/>
      <c r="S1151" s="24"/>
      <c r="T1151" s="25"/>
      <c r="U1151" s="14"/>
      <c r="V1151" s="14"/>
      <c r="W1151" s="24"/>
      <c r="X1151" s="14"/>
    </row>
    <row r="1152">
      <c r="A1152" s="14"/>
      <c r="B1152" s="22"/>
      <c r="C1152" s="14"/>
      <c r="D1152" s="14"/>
      <c r="E1152" s="14"/>
      <c r="F1152" s="14"/>
      <c r="G1152" s="14"/>
      <c r="H1152" s="14"/>
      <c r="I1152" s="14"/>
      <c r="J1152" s="14"/>
      <c r="K1152" s="14"/>
      <c r="L1152" s="14"/>
      <c r="M1152" s="14"/>
      <c r="N1152" s="14"/>
      <c r="O1152" s="14"/>
      <c r="P1152" s="14"/>
      <c r="Q1152" s="14"/>
      <c r="R1152" s="23"/>
      <c r="S1152" s="24"/>
      <c r="T1152" s="25"/>
      <c r="U1152" s="14"/>
      <c r="V1152" s="14"/>
      <c r="W1152" s="24"/>
      <c r="X1152" s="14"/>
    </row>
    <row r="1153">
      <c r="A1153" s="14"/>
      <c r="B1153" s="22"/>
      <c r="C1153" s="14"/>
      <c r="D1153" s="14"/>
      <c r="E1153" s="14"/>
      <c r="F1153" s="14"/>
      <c r="G1153" s="14"/>
      <c r="H1153" s="14"/>
      <c r="I1153" s="14"/>
      <c r="J1153" s="14"/>
      <c r="K1153" s="14"/>
      <c r="L1153" s="14"/>
      <c r="M1153" s="14"/>
      <c r="N1153" s="14"/>
      <c r="O1153" s="14"/>
      <c r="P1153" s="14"/>
      <c r="Q1153" s="14"/>
      <c r="R1153" s="23"/>
      <c r="S1153" s="24"/>
      <c r="T1153" s="25"/>
      <c r="U1153" s="14"/>
      <c r="V1153" s="14"/>
      <c r="W1153" s="24"/>
      <c r="X1153" s="14"/>
    </row>
    <row r="1154">
      <c r="A1154" s="14"/>
      <c r="B1154" s="22"/>
      <c r="C1154" s="14"/>
      <c r="D1154" s="14"/>
      <c r="E1154" s="14"/>
      <c r="F1154" s="14"/>
      <c r="G1154" s="14"/>
      <c r="H1154" s="14"/>
      <c r="I1154" s="14"/>
      <c r="J1154" s="14"/>
      <c r="K1154" s="14"/>
      <c r="L1154" s="14"/>
      <c r="M1154" s="14"/>
      <c r="N1154" s="14"/>
      <c r="O1154" s="14"/>
      <c r="P1154" s="14"/>
      <c r="Q1154" s="14"/>
      <c r="R1154" s="23"/>
      <c r="S1154" s="24"/>
      <c r="T1154" s="25"/>
      <c r="U1154" s="14"/>
      <c r="V1154" s="14"/>
      <c r="W1154" s="24"/>
      <c r="X1154" s="14"/>
    </row>
    <row r="1155">
      <c r="A1155" s="14"/>
      <c r="B1155" s="22"/>
      <c r="C1155" s="14"/>
      <c r="D1155" s="14"/>
      <c r="E1155" s="14"/>
      <c r="F1155" s="14"/>
      <c r="G1155" s="14"/>
      <c r="H1155" s="14"/>
      <c r="I1155" s="14"/>
      <c r="J1155" s="14"/>
      <c r="K1155" s="14"/>
      <c r="L1155" s="14"/>
      <c r="M1155" s="14"/>
      <c r="N1155" s="14"/>
      <c r="O1155" s="14"/>
      <c r="P1155" s="14"/>
      <c r="Q1155" s="14"/>
      <c r="R1155" s="23"/>
      <c r="S1155" s="24"/>
      <c r="T1155" s="25"/>
      <c r="U1155" s="14"/>
      <c r="V1155" s="14"/>
      <c r="W1155" s="24"/>
      <c r="X1155" s="14"/>
    </row>
    <row r="1156">
      <c r="A1156" s="14"/>
      <c r="B1156" s="22"/>
      <c r="C1156" s="14"/>
      <c r="D1156" s="14"/>
      <c r="E1156" s="14"/>
      <c r="F1156" s="14"/>
      <c r="G1156" s="14"/>
      <c r="H1156" s="14"/>
      <c r="I1156" s="14"/>
      <c r="J1156" s="14"/>
      <c r="K1156" s="14"/>
      <c r="L1156" s="14"/>
      <c r="M1156" s="14"/>
      <c r="N1156" s="14"/>
      <c r="O1156" s="14"/>
      <c r="P1156" s="14"/>
      <c r="Q1156" s="14"/>
      <c r="R1156" s="23"/>
      <c r="S1156" s="24"/>
      <c r="T1156" s="25"/>
      <c r="U1156" s="14"/>
      <c r="V1156" s="14"/>
      <c r="W1156" s="24"/>
      <c r="X1156" s="14"/>
    </row>
    <row r="1157">
      <c r="A1157" s="14"/>
      <c r="B1157" s="22"/>
      <c r="C1157" s="14"/>
      <c r="D1157" s="14"/>
      <c r="E1157" s="14"/>
      <c r="F1157" s="14"/>
      <c r="G1157" s="14"/>
      <c r="H1157" s="14"/>
      <c r="I1157" s="14"/>
      <c r="J1157" s="14"/>
      <c r="K1157" s="14"/>
      <c r="L1157" s="14"/>
      <c r="M1157" s="14"/>
      <c r="N1157" s="14"/>
      <c r="O1157" s="14"/>
      <c r="P1157" s="14"/>
      <c r="Q1157" s="14"/>
      <c r="R1157" s="23"/>
      <c r="S1157" s="24"/>
      <c r="T1157" s="25"/>
      <c r="U1157" s="14"/>
      <c r="V1157" s="14"/>
      <c r="W1157" s="24"/>
      <c r="X1157" s="14"/>
    </row>
    <row r="1158">
      <c r="A1158" s="14"/>
      <c r="B1158" s="22"/>
      <c r="C1158" s="14"/>
      <c r="D1158" s="14"/>
      <c r="E1158" s="14"/>
      <c r="F1158" s="14"/>
      <c r="G1158" s="14"/>
      <c r="H1158" s="14"/>
      <c r="I1158" s="14"/>
      <c r="J1158" s="14"/>
      <c r="K1158" s="14"/>
      <c r="L1158" s="14"/>
      <c r="M1158" s="14"/>
      <c r="N1158" s="14"/>
      <c r="O1158" s="14"/>
      <c r="P1158" s="14"/>
      <c r="Q1158" s="14"/>
      <c r="R1158" s="23"/>
      <c r="S1158" s="24"/>
      <c r="T1158" s="25"/>
      <c r="U1158" s="14"/>
      <c r="V1158" s="14"/>
      <c r="W1158" s="24"/>
      <c r="X1158" s="14"/>
    </row>
    <row r="1159">
      <c r="A1159" s="14"/>
      <c r="B1159" s="22"/>
      <c r="C1159" s="14"/>
      <c r="D1159" s="14"/>
      <c r="E1159" s="14"/>
      <c r="F1159" s="14"/>
      <c r="G1159" s="14"/>
      <c r="H1159" s="14"/>
      <c r="I1159" s="14"/>
      <c r="J1159" s="14"/>
      <c r="K1159" s="14"/>
      <c r="L1159" s="14"/>
      <c r="M1159" s="14"/>
      <c r="N1159" s="14"/>
      <c r="O1159" s="14"/>
      <c r="P1159" s="14"/>
      <c r="Q1159" s="14"/>
      <c r="R1159" s="23"/>
      <c r="S1159" s="24"/>
      <c r="T1159" s="25"/>
      <c r="U1159" s="14"/>
      <c r="V1159" s="14"/>
      <c r="W1159" s="24"/>
      <c r="X1159" s="14"/>
    </row>
    <row r="1160">
      <c r="A1160" s="14"/>
      <c r="B1160" s="22"/>
      <c r="C1160" s="14"/>
      <c r="D1160" s="14"/>
      <c r="E1160" s="14"/>
      <c r="F1160" s="14"/>
      <c r="G1160" s="14"/>
      <c r="H1160" s="14"/>
      <c r="I1160" s="14"/>
      <c r="J1160" s="14"/>
      <c r="K1160" s="14"/>
      <c r="L1160" s="14"/>
      <c r="M1160" s="14"/>
      <c r="N1160" s="14"/>
      <c r="O1160" s="14"/>
      <c r="P1160" s="14"/>
      <c r="Q1160" s="14"/>
      <c r="R1160" s="23"/>
      <c r="S1160" s="24"/>
      <c r="T1160" s="25"/>
      <c r="U1160" s="14"/>
      <c r="V1160" s="14"/>
      <c r="W1160" s="24"/>
      <c r="X1160" s="14"/>
    </row>
    <row r="1161">
      <c r="A1161" s="14"/>
      <c r="B1161" s="22"/>
      <c r="C1161" s="14"/>
      <c r="D1161" s="14"/>
      <c r="E1161" s="14"/>
      <c r="F1161" s="14"/>
      <c r="G1161" s="14"/>
      <c r="H1161" s="14"/>
      <c r="I1161" s="14"/>
      <c r="J1161" s="14"/>
      <c r="K1161" s="14"/>
      <c r="L1161" s="14"/>
      <c r="M1161" s="14"/>
      <c r="N1161" s="14"/>
      <c r="O1161" s="14"/>
      <c r="P1161" s="14"/>
      <c r="Q1161" s="14"/>
      <c r="R1161" s="23"/>
      <c r="S1161" s="24"/>
      <c r="T1161" s="25"/>
      <c r="U1161" s="14"/>
      <c r="V1161" s="14"/>
      <c r="W1161" s="24"/>
      <c r="X1161" s="14"/>
    </row>
    <row r="1162">
      <c r="A1162" s="14"/>
      <c r="B1162" s="22"/>
      <c r="C1162" s="14"/>
      <c r="D1162" s="14"/>
      <c r="E1162" s="14"/>
      <c r="F1162" s="14"/>
      <c r="G1162" s="14"/>
      <c r="H1162" s="14"/>
      <c r="I1162" s="14"/>
      <c r="J1162" s="14"/>
      <c r="K1162" s="14"/>
      <c r="L1162" s="14"/>
      <c r="M1162" s="14"/>
      <c r="N1162" s="14"/>
      <c r="O1162" s="14"/>
      <c r="P1162" s="14"/>
      <c r="Q1162" s="14"/>
      <c r="R1162" s="23"/>
      <c r="S1162" s="24"/>
      <c r="T1162" s="25"/>
      <c r="U1162" s="14"/>
      <c r="V1162" s="14"/>
      <c r="W1162" s="24"/>
      <c r="X1162" s="14"/>
    </row>
    <row r="1163">
      <c r="A1163" s="14"/>
      <c r="B1163" s="22"/>
      <c r="C1163" s="14"/>
      <c r="D1163" s="14"/>
      <c r="E1163" s="14"/>
      <c r="F1163" s="14"/>
      <c r="G1163" s="14"/>
      <c r="H1163" s="14"/>
      <c r="I1163" s="14"/>
      <c r="J1163" s="14"/>
      <c r="K1163" s="14"/>
      <c r="L1163" s="14"/>
      <c r="M1163" s="14"/>
      <c r="N1163" s="14"/>
      <c r="O1163" s="14"/>
      <c r="P1163" s="14"/>
      <c r="Q1163" s="14"/>
      <c r="R1163" s="23"/>
      <c r="S1163" s="24"/>
      <c r="T1163" s="25"/>
      <c r="U1163" s="14"/>
      <c r="V1163" s="14"/>
      <c r="W1163" s="24"/>
      <c r="X1163" s="14"/>
    </row>
    <row r="1164">
      <c r="A1164" s="14"/>
      <c r="B1164" s="22"/>
      <c r="C1164" s="14"/>
      <c r="D1164" s="14"/>
      <c r="E1164" s="14"/>
      <c r="F1164" s="14"/>
      <c r="G1164" s="14"/>
      <c r="H1164" s="14"/>
      <c r="I1164" s="14"/>
      <c r="J1164" s="14"/>
      <c r="K1164" s="14"/>
      <c r="L1164" s="14"/>
      <c r="M1164" s="14"/>
      <c r="N1164" s="14"/>
      <c r="O1164" s="14"/>
      <c r="P1164" s="14"/>
      <c r="Q1164" s="14"/>
      <c r="R1164" s="23"/>
      <c r="S1164" s="24"/>
      <c r="T1164" s="25"/>
      <c r="U1164" s="14"/>
      <c r="V1164" s="14"/>
      <c r="W1164" s="24"/>
      <c r="X1164" s="14"/>
    </row>
    <row r="1165">
      <c r="A1165" s="14"/>
      <c r="B1165" s="22"/>
      <c r="C1165" s="14"/>
      <c r="D1165" s="14"/>
      <c r="E1165" s="14"/>
      <c r="F1165" s="14"/>
      <c r="G1165" s="14"/>
      <c r="H1165" s="14"/>
      <c r="I1165" s="14"/>
      <c r="J1165" s="14"/>
      <c r="K1165" s="14"/>
      <c r="L1165" s="14"/>
      <c r="M1165" s="14"/>
      <c r="N1165" s="14"/>
      <c r="O1165" s="14"/>
      <c r="P1165" s="14"/>
      <c r="Q1165" s="14"/>
      <c r="R1165" s="23"/>
      <c r="S1165" s="24"/>
      <c r="T1165" s="25"/>
      <c r="U1165" s="14"/>
      <c r="V1165" s="14"/>
      <c r="W1165" s="24"/>
      <c r="X1165" s="14"/>
    </row>
    <row r="1166">
      <c r="A1166" s="14"/>
      <c r="B1166" s="22"/>
      <c r="C1166" s="14"/>
      <c r="D1166" s="14"/>
      <c r="E1166" s="14"/>
      <c r="F1166" s="14"/>
      <c r="G1166" s="14"/>
      <c r="H1166" s="14"/>
      <c r="I1166" s="14"/>
      <c r="J1166" s="14"/>
      <c r="K1166" s="14"/>
      <c r="L1166" s="14"/>
      <c r="M1166" s="14"/>
      <c r="N1166" s="14"/>
      <c r="O1166" s="14"/>
      <c r="P1166" s="14"/>
      <c r="Q1166" s="14"/>
      <c r="R1166" s="23"/>
      <c r="S1166" s="24"/>
      <c r="T1166" s="25"/>
      <c r="U1166" s="14"/>
      <c r="V1166" s="14"/>
      <c r="W1166" s="24"/>
      <c r="X1166" s="14"/>
    </row>
    <row r="1167">
      <c r="A1167" s="14"/>
      <c r="B1167" s="22"/>
      <c r="C1167" s="14"/>
      <c r="D1167" s="14"/>
      <c r="E1167" s="14"/>
      <c r="F1167" s="14"/>
      <c r="G1167" s="14"/>
      <c r="H1167" s="14"/>
      <c r="I1167" s="14"/>
      <c r="J1167" s="14"/>
      <c r="K1167" s="14"/>
      <c r="L1167" s="14"/>
      <c r="M1167" s="14"/>
      <c r="N1167" s="14"/>
      <c r="O1167" s="14"/>
      <c r="P1167" s="14"/>
      <c r="Q1167" s="14"/>
      <c r="R1167" s="23"/>
      <c r="S1167" s="24"/>
      <c r="T1167" s="25"/>
      <c r="U1167" s="14"/>
      <c r="V1167" s="14"/>
      <c r="W1167" s="24"/>
      <c r="X1167" s="14"/>
    </row>
    <row r="1168">
      <c r="A1168" s="14"/>
      <c r="B1168" s="22"/>
      <c r="C1168" s="14"/>
      <c r="D1168" s="14"/>
      <c r="E1168" s="14"/>
      <c r="F1168" s="14"/>
      <c r="G1168" s="14"/>
      <c r="H1168" s="14"/>
      <c r="I1168" s="14"/>
      <c r="J1168" s="14"/>
      <c r="K1168" s="14"/>
      <c r="L1168" s="14"/>
      <c r="M1168" s="14"/>
      <c r="N1168" s="14"/>
      <c r="O1168" s="14"/>
      <c r="P1168" s="14"/>
      <c r="Q1168" s="14"/>
      <c r="R1168" s="23"/>
      <c r="S1168" s="24"/>
      <c r="T1168" s="25"/>
      <c r="U1168" s="14"/>
      <c r="V1168" s="14"/>
      <c r="W1168" s="24"/>
      <c r="X1168" s="14"/>
    </row>
    <row r="1169">
      <c r="A1169" s="14"/>
      <c r="B1169" s="22"/>
      <c r="C1169" s="14"/>
      <c r="D1169" s="14"/>
      <c r="E1169" s="14"/>
      <c r="F1169" s="14"/>
      <c r="G1169" s="14"/>
      <c r="H1169" s="14"/>
      <c r="I1169" s="14"/>
      <c r="J1169" s="14"/>
      <c r="K1169" s="14"/>
      <c r="L1169" s="14"/>
      <c r="M1169" s="14"/>
      <c r="N1169" s="14"/>
      <c r="O1169" s="14"/>
      <c r="P1169" s="14"/>
      <c r="Q1169" s="14"/>
      <c r="R1169" s="23"/>
      <c r="S1169" s="24"/>
      <c r="T1169" s="25"/>
      <c r="U1169" s="14"/>
      <c r="V1169" s="14"/>
      <c r="W1169" s="24"/>
      <c r="X1169" s="14"/>
    </row>
    <row r="1170">
      <c r="A1170" s="14"/>
      <c r="B1170" s="22"/>
      <c r="C1170" s="14"/>
      <c r="D1170" s="14"/>
      <c r="E1170" s="14"/>
      <c r="F1170" s="14"/>
      <c r="G1170" s="14"/>
      <c r="H1170" s="14"/>
      <c r="I1170" s="14"/>
      <c r="J1170" s="14"/>
      <c r="K1170" s="14"/>
      <c r="L1170" s="14"/>
      <c r="M1170" s="14"/>
      <c r="N1170" s="14"/>
      <c r="O1170" s="14"/>
      <c r="P1170" s="14"/>
      <c r="Q1170" s="14"/>
      <c r="R1170" s="23"/>
      <c r="S1170" s="24"/>
      <c r="T1170" s="25"/>
      <c r="U1170" s="14"/>
      <c r="V1170" s="14"/>
      <c r="W1170" s="24"/>
      <c r="X1170" s="14"/>
    </row>
    <row r="1171">
      <c r="A1171" s="14"/>
      <c r="B1171" s="22"/>
      <c r="C1171" s="14"/>
      <c r="D1171" s="14"/>
      <c r="E1171" s="14"/>
      <c r="F1171" s="14"/>
      <c r="G1171" s="14"/>
      <c r="H1171" s="14"/>
      <c r="I1171" s="14"/>
      <c r="J1171" s="14"/>
      <c r="K1171" s="14"/>
      <c r="L1171" s="14"/>
      <c r="M1171" s="14"/>
      <c r="N1171" s="14"/>
      <c r="O1171" s="14"/>
      <c r="P1171" s="14"/>
      <c r="Q1171" s="14"/>
      <c r="R1171" s="23"/>
      <c r="S1171" s="24"/>
      <c r="T1171" s="25"/>
      <c r="U1171" s="14"/>
      <c r="V1171" s="14"/>
      <c r="W1171" s="24"/>
      <c r="X1171" s="14"/>
    </row>
    <row r="1172">
      <c r="A1172" s="14"/>
      <c r="B1172" s="22"/>
      <c r="C1172" s="14"/>
      <c r="D1172" s="14"/>
      <c r="E1172" s="14"/>
      <c r="F1172" s="14"/>
      <c r="G1172" s="14"/>
      <c r="H1172" s="14"/>
      <c r="I1172" s="14"/>
      <c r="J1172" s="14"/>
      <c r="K1172" s="14"/>
      <c r="L1172" s="14"/>
      <c r="M1172" s="14"/>
      <c r="N1172" s="14"/>
      <c r="O1172" s="14"/>
      <c r="P1172" s="14"/>
      <c r="Q1172" s="14"/>
      <c r="R1172" s="23"/>
      <c r="S1172" s="24"/>
      <c r="T1172" s="25"/>
      <c r="U1172" s="14"/>
      <c r="V1172" s="14"/>
      <c r="W1172" s="24"/>
      <c r="X1172" s="14"/>
    </row>
    <row r="1173">
      <c r="A1173" s="14"/>
      <c r="B1173" s="22"/>
      <c r="C1173" s="14"/>
      <c r="D1173" s="14"/>
      <c r="E1173" s="14"/>
      <c r="F1173" s="14"/>
      <c r="G1173" s="14"/>
      <c r="H1173" s="14"/>
      <c r="I1173" s="14"/>
      <c r="J1173" s="14"/>
      <c r="K1173" s="14"/>
      <c r="L1173" s="14"/>
      <c r="M1173" s="14"/>
      <c r="N1173" s="14"/>
      <c r="O1173" s="14"/>
      <c r="P1173" s="14"/>
      <c r="Q1173" s="14"/>
      <c r="R1173" s="23"/>
      <c r="S1173" s="24"/>
      <c r="T1173" s="25"/>
      <c r="U1173" s="14"/>
      <c r="V1173" s="14"/>
      <c r="W1173" s="24"/>
      <c r="X1173" s="14"/>
    </row>
    <row r="1174">
      <c r="A1174" s="14"/>
      <c r="B1174" s="22"/>
      <c r="C1174" s="14"/>
      <c r="D1174" s="14"/>
      <c r="E1174" s="14"/>
      <c r="F1174" s="14"/>
      <c r="G1174" s="14"/>
      <c r="H1174" s="14"/>
      <c r="I1174" s="14"/>
      <c r="J1174" s="14"/>
      <c r="K1174" s="14"/>
      <c r="L1174" s="14"/>
      <c r="M1174" s="14"/>
      <c r="N1174" s="14"/>
      <c r="O1174" s="14"/>
      <c r="P1174" s="14"/>
      <c r="Q1174" s="14"/>
      <c r="R1174" s="23"/>
      <c r="S1174" s="24"/>
      <c r="T1174" s="25"/>
      <c r="U1174" s="14"/>
      <c r="V1174" s="14"/>
      <c r="W1174" s="24"/>
      <c r="X1174" s="14"/>
    </row>
    <row r="1175">
      <c r="A1175" s="14"/>
      <c r="B1175" s="22"/>
      <c r="C1175" s="14"/>
      <c r="D1175" s="14"/>
      <c r="E1175" s="14"/>
      <c r="F1175" s="14"/>
      <c r="G1175" s="14"/>
      <c r="H1175" s="14"/>
      <c r="I1175" s="14"/>
      <c r="J1175" s="14"/>
      <c r="K1175" s="14"/>
      <c r="L1175" s="14"/>
      <c r="M1175" s="14"/>
      <c r="N1175" s="14"/>
      <c r="O1175" s="14"/>
      <c r="P1175" s="14"/>
      <c r="Q1175" s="14"/>
      <c r="R1175" s="23"/>
      <c r="S1175" s="24"/>
      <c r="T1175" s="25"/>
      <c r="U1175" s="14"/>
      <c r="V1175" s="14"/>
      <c r="W1175" s="24"/>
      <c r="X1175" s="14"/>
    </row>
    <row r="1176">
      <c r="A1176" s="14"/>
      <c r="B1176" s="22"/>
      <c r="C1176" s="14"/>
      <c r="D1176" s="14"/>
      <c r="E1176" s="14"/>
      <c r="F1176" s="14"/>
      <c r="G1176" s="14"/>
      <c r="H1176" s="14"/>
      <c r="I1176" s="14"/>
      <c r="J1176" s="14"/>
      <c r="K1176" s="14"/>
      <c r="L1176" s="14"/>
      <c r="M1176" s="14"/>
      <c r="N1176" s="14"/>
      <c r="O1176" s="14"/>
      <c r="P1176" s="14"/>
      <c r="Q1176" s="14"/>
      <c r="R1176" s="23"/>
      <c r="S1176" s="24"/>
      <c r="T1176" s="25"/>
      <c r="U1176" s="14"/>
      <c r="V1176" s="14"/>
      <c r="W1176" s="24"/>
      <c r="X1176" s="14"/>
    </row>
    <row r="1177">
      <c r="A1177" s="14"/>
      <c r="B1177" s="22"/>
      <c r="C1177" s="14"/>
      <c r="D1177" s="14"/>
      <c r="E1177" s="14"/>
      <c r="F1177" s="14"/>
      <c r="G1177" s="14"/>
      <c r="H1177" s="14"/>
      <c r="I1177" s="14"/>
      <c r="J1177" s="14"/>
      <c r="K1177" s="14"/>
      <c r="L1177" s="14"/>
      <c r="M1177" s="14"/>
      <c r="N1177" s="14"/>
      <c r="O1177" s="14"/>
      <c r="P1177" s="14"/>
      <c r="Q1177" s="14"/>
      <c r="R1177" s="23"/>
      <c r="S1177" s="24"/>
      <c r="T1177" s="25"/>
      <c r="U1177" s="14"/>
      <c r="V1177" s="14"/>
      <c r="W1177" s="24"/>
      <c r="X1177" s="14"/>
    </row>
    <row r="1178">
      <c r="A1178" s="14"/>
      <c r="B1178" s="22"/>
      <c r="C1178" s="14"/>
      <c r="D1178" s="14"/>
      <c r="E1178" s="14"/>
      <c r="F1178" s="14"/>
      <c r="G1178" s="14"/>
      <c r="H1178" s="14"/>
      <c r="I1178" s="14"/>
      <c r="J1178" s="14"/>
      <c r="K1178" s="14"/>
      <c r="L1178" s="14"/>
      <c r="M1178" s="14"/>
      <c r="N1178" s="14"/>
      <c r="O1178" s="14"/>
      <c r="P1178" s="14"/>
      <c r="Q1178" s="14"/>
      <c r="R1178" s="23"/>
      <c r="S1178" s="24"/>
      <c r="T1178" s="25"/>
      <c r="U1178" s="14"/>
      <c r="V1178" s="14"/>
      <c r="W1178" s="24"/>
      <c r="X1178" s="14"/>
    </row>
    <row r="1179">
      <c r="A1179" s="14"/>
      <c r="B1179" s="22"/>
      <c r="C1179" s="14"/>
      <c r="D1179" s="14"/>
      <c r="E1179" s="14"/>
      <c r="F1179" s="14"/>
      <c r="G1179" s="14"/>
      <c r="H1179" s="14"/>
      <c r="I1179" s="14"/>
      <c r="J1179" s="14"/>
      <c r="K1179" s="14"/>
      <c r="L1179" s="14"/>
      <c r="M1179" s="14"/>
      <c r="N1179" s="14"/>
      <c r="O1179" s="14"/>
      <c r="P1179" s="14"/>
      <c r="Q1179" s="14"/>
      <c r="R1179" s="23"/>
      <c r="S1179" s="24"/>
      <c r="T1179" s="25"/>
      <c r="U1179" s="14"/>
      <c r="V1179" s="14"/>
      <c r="W1179" s="24"/>
      <c r="X1179" s="14"/>
    </row>
    <row r="1180">
      <c r="A1180" s="14"/>
      <c r="B1180" s="22"/>
      <c r="C1180" s="14"/>
      <c r="D1180" s="14"/>
      <c r="E1180" s="14"/>
      <c r="F1180" s="14"/>
      <c r="G1180" s="14"/>
      <c r="H1180" s="14"/>
      <c r="I1180" s="14"/>
      <c r="J1180" s="14"/>
      <c r="K1180" s="14"/>
      <c r="L1180" s="14"/>
      <c r="M1180" s="14"/>
      <c r="N1180" s="14"/>
      <c r="O1180" s="14"/>
      <c r="P1180" s="14"/>
      <c r="Q1180" s="14"/>
      <c r="R1180" s="23"/>
      <c r="S1180" s="24"/>
      <c r="T1180" s="25"/>
      <c r="U1180" s="14"/>
      <c r="V1180" s="14"/>
      <c r="W1180" s="24"/>
      <c r="X1180" s="14"/>
    </row>
    <row r="1181">
      <c r="A1181" s="14"/>
      <c r="B1181" s="22"/>
      <c r="C1181" s="14"/>
      <c r="D1181" s="14"/>
      <c r="E1181" s="14"/>
      <c r="F1181" s="14"/>
      <c r="G1181" s="14"/>
      <c r="H1181" s="14"/>
      <c r="I1181" s="14"/>
      <c r="J1181" s="14"/>
      <c r="K1181" s="14"/>
      <c r="L1181" s="14"/>
      <c r="M1181" s="14"/>
      <c r="N1181" s="14"/>
      <c r="O1181" s="14"/>
      <c r="P1181" s="14"/>
      <c r="Q1181" s="14"/>
      <c r="R1181" s="23"/>
      <c r="S1181" s="24"/>
      <c r="T1181" s="25"/>
      <c r="U1181" s="14"/>
      <c r="V1181" s="14"/>
      <c r="W1181" s="24"/>
      <c r="X1181" s="14"/>
    </row>
    <row r="1182">
      <c r="A1182" s="14"/>
      <c r="B1182" s="22"/>
      <c r="C1182" s="14"/>
      <c r="D1182" s="14"/>
      <c r="E1182" s="14"/>
      <c r="F1182" s="14"/>
      <c r="G1182" s="14"/>
      <c r="H1182" s="14"/>
      <c r="I1182" s="14"/>
      <c r="J1182" s="14"/>
      <c r="K1182" s="14"/>
      <c r="L1182" s="14"/>
      <c r="M1182" s="14"/>
      <c r="N1182" s="14"/>
      <c r="O1182" s="14"/>
      <c r="P1182" s="14"/>
      <c r="Q1182" s="14"/>
      <c r="R1182" s="23"/>
      <c r="S1182" s="24"/>
      <c r="T1182" s="25"/>
      <c r="U1182" s="14"/>
      <c r="V1182" s="14"/>
      <c r="W1182" s="24"/>
      <c r="X1182" s="14"/>
    </row>
    <row r="1183">
      <c r="A1183" s="14"/>
      <c r="B1183" s="22"/>
      <c r="C1183" s="14"/>
      <c r="D1183" s="14"/>
      <c r="E1183" s="14"/>
      <c r="F1183" s="14"/>
      <c r="G1183" s="14"/>
      <c r="H1183" s="14"/>
      <c r="I1183" s="14"/>
      <c r="J1183" s="14"/>
      <c r="K1183" s="14"/>
      <c r="L1183" s="14"/>
      <c r="M1183" s="14"/>
      <c r="N1183" s="14"/>
      <c r="O1183" s="14"/>
      <c r="P1183" s="14"/>
      <c r="Q1183" s="14"/>
      <c r="R1183" s="23"/>
      <c r="S1183" s="24"/>
      <c r="T1183" s="25"/>
      <c r="U1183" s="14"/>
      <c r="V1183" s="14"/>
      <c r="W1183" s="24"/>
      <c r="X1183" s="14"/>
    </row>
    <row r="1184">
      <c r="A1184" s="14"/>
      <c r="B1184" s="22"/>
      <c r="C1184" s="14"/>
      <c r="D1184" s="14"/>
      <c r="E1184" s="14"/>
      <c r="F1184" s="14"/>
      <c r="G1184" s="14"/>
      <c r="H1184" s="14"/>
      <c r="I1184" s="14"/>
      <c r="J1184" s="14"/>
      <c r="K1184" s="14"/>
      <c r="L1184" s="14"/>
      <c r="M1184" s="14"/>
      <c r="N1184" s="14"/>
      <c r="O1184" s="14"/>
      <c r="P1184" s="14"/>
      <c r="Q1184" s="14"/>
      <c r="R1184" s="23"/>
      <c r="S1184" s="24"/>
      <c r="T1184" s="25"/>
      <c r="U1184" s="14"/>
      <c r="V1184" s="14"/>
      <c r="W1184" s="24"/>
      <c r="X1184" s="14"/>
    </row>
    <row r="1185">
      <c r="A1185" s="14"/>
      <c r="B1185" s="22"/>
      <c r="C1185" s="14"/>
      <c r="D1185" s="14"/>
      <c r="E1185" s="14"/>
      <c r="F1185" s="14"/>
      <c r="G1185" s="14"/>
      <c r="H1185" s="14"/>
      <c r="I1185" s="14"/>
      <c r="J1185" s="14"/>
      <c r="K1185" s="14"/>
      <c r="L1185" s="14"/>
      <c r="M1185" s="14"/>
      <c r="N1185" s="14"/>
      <c r="O1185" s="14"/>
      <c r="P1185" s="14"/>
      <c r="Q1185" s="14"/>
      <c r="R1185" s="23"/>
      <c r="S1185" s="24"/>
      <c r="T1185" s="25"/>
      <c r="U1185" s="14"/>
      <c r="V1185" s="14"/>
      <c r="W1185" s="24"/>
      <c r="X1185" s="14"/>
    </row>
    <row r="1186">
      <c r="A1186" s="14"/>
      <c r="B1186" s="22"/>
      <c r="C1186" s="14"/>
      <c r="D1186" s="14"/>
      <c r="E1186" s="14"/>
      <c r="F1186" s="14"/>
      <c r="G1186" s="14"/>
      <c r="H1186" s="14"/>
      <c r="I1186" s="14"/>
      <c r="J1186" s="14"/>
      <c r="K1186" s="14"/>
      <c r="L1186" s="14"/>
      <c r="M1186" s="14"/>
      <c r="N1186" s="14"/>
      <c r="O1186" s="14"/>
      <c r="P1186" s="14"/>
      <c r="Q1186" s="14"/>
      <c r="R1186" s="23"/>
      <c r="S1186" s="24"/>
      <c r="T1186" s="25"/>
      <c r="U1186" s="14"/>
      <c r="V1186" s="14"/>
      <c r="W1186" s="24"/>
      <c r="X1186" s="14"/>
    </row>
    <row r="1187">
      <c r="A1187" s="14"/>
      <c r="B1187" s="22"/>
      <c r="C1187" s="14"/>
      <c r="D1187" s="14"/>
      <c r="E1187" s="14"/>
      <c r="F1187" s="14"/>
      <c r="G1187" s="14"/>
      <c r="H1187" s="14"/>
      <c r="I1187" s="14"/>
      <c r="J1187" s="14"/>
      <c r="K1187" s="14"/>
      <c r="L1187" s="14"/>
      <c r="M1187" s="14"/>
      <c r="N1187" s="14"/>
      <c r="O1187" s="14"/>
      <c r="P1187" s="14"/>
      <c r="Q1187" s="14"/>
      <c r="R1187" s="23"/>
      <c r="S1187" s="24"/>
      <c r="T1187" s="25"/>
      <c r="U1187" s="14"/>
      <c r="V1187" s="14"/>
      <c r="W1187" s="24"/>
      <c r="X1187" s="14"/>
    </row>
    <row r="1188">
      <c r="A1188" s="14"/>
      <c r="B1188" s="22"/>
      <c r="C1188" s="14"/>
      <c r="D1188" s="14"/>
      <c r="E1188" s="14"/>
      <c r="F1188" s="14"/>
      <c r="G1188" s="14"/>
      <c r="H1188" s="14"/>
      <c r="I1188" s="14"/>
      <c r="J1188" s="14"/>
      <c r="K1188" s="14"/>
      <c r="L1188" s="14"/>
      <c r="M1188" s="14"/>
      <c r="N1188" s="14"/>
      <c r="O1188" s="14"/>
      <c r="P1188" s="14"/>
      <c r="Q1188" s="14"/>
      <c r="R1188" s="23"/>
      <c r="S1188" s="24"/>
      <c r="T1188" s="25"/>
      <c r="U1188" s="14"/>
      <c r="V1188" s="14"/>
      <c r="W1188" s="24"/>
      <c r="X1188" s="14"/>
    </row>
    <row r="1189">
      <c r="A1189" s="14"/>
      <c r="B1189" s="22"/>
      <c r="C1189" s="14"/>
      <c r="D1189" s="14"/>
      <c r="E1189" s="14"/>
      <c r="F1189" s="14"/>
      <c r="G1189" s="14"/>
      <c r="H1189" s="14"/>
      <c r="I1189" s="14"/>
      <c r="J1189" s="14"/>
      <c r="K1189" s="14"/>
      <c r="L1189" s="14"/>
      <c r="M1189" s="14"/>
      <c r="N1189" s="14"/>
      <c r="O1189" s="14"/>
      <c r="P1189" s="14"/>
      <c r="Q1189" s="14"/>
      <c r="R1189" s="23"/>
      <c r="S1189" s="24"/>
      <c r="T1189" s="25"/>
      <c r="U1189" s="14"/>
      <c r="V1189" s="14"/>
      <c r="W1189" s="24"/>
      <c r="X1189" s="14"/>
    </row>
    <row r="1190">
      <c r="A1190" s="14"/>
      <c r="B1190" s="22"/>
      <c r="C1190" s="14"/>
      <c r="D1190" s="14"/>
      <c r="E1190" s="14"/>
      <c r="F1190" s="14"/>
      <c r="G1190" s="14"/>
      <c r="H1190" s="14"/>
      <c r="I1190" s="14"/>
      <c r="J1190" s="14"/>
      <c r="K1190" s="14"/>
      <c r="L1190" s="14"/>
      <c r="M1190" s="14"/>
      <c r="N1190" s="14"/>
      <c r="O1190" s="14"/>
      <c r="P1190" s="14"/>
      <c r="Q1190" s="14"/>
      <c r="R1190" s="23"/>
      <c r="S1190" s="24"/>
      <c r="T1190" s="25"/>
      <c r="U1190" s="14"/>
      <c r="V1190" s="14"/>
      <c r="W1190" s="24"/>
      <c r="X1190" s="14"/>
    </row>
    <row r="1191">
      <c r="A1191" s="14"/>
      <c r="B1191" s="22"/>
      <c r="C1191" s="14"/>
      <c r="D1191" s="14"/>
      <c r="E1191" s="14"/>
      <c r="F1191" s="14"/>
      <c r="G1191" s="14"/>
      <c r="H1191" s="14"/>
      <c r="I1191" s="14"/>
      <c r="J1191" s="14"/>
      <c r="K1191" s="14"/>
      <c r="L1191" s="14"/>
      <c r="M1191" s="14"/>
      <c r="N1191" s="14"/>
      <c r="O1191" s="14"/>
      <c r="P1191" s="14"/>
      <c r="Q1191" s="14"/>
      <c r="R1191" s="23"/>
      <c r="S1191" s="24"/>
      <c r="T1191" s="25"/>
      <c r="U1191" s="14"/>
      <c r="V1191" s="14"/>
      <c r="W1191" s="24"/>
      <c r="X1191" s="14"/>
    </row>
    <row r="1192">
      <c r="A1192" s="14"/>
      <c r="B1192" s="22"/>
      <c r="C1192" s="14"/>
      <c r="D1192" s="14"/>
      <c r="E1192" s="14"/>
      <c r="F1192" s="14"/>
      <c r="G1192" s="14"/>
      <c r="H1192" s="14"/>
      <c r="I1192" s="14"/>
      <c r="J1192" s="14"/>
      <c r="K1192" s="14"/>
      <c r="L1192" s="14"/>
      <c r="M1192" s="14"/>
      <c r="N1192" s="14"/>
      <c r="O1192" s="14"/>
      <c r="P1192" s="14"/>
      <c r="Q1192" s="14"/>
      <c r="R1192" s="23"/>
      <c r="S1192" s="24"/>
      <c r="T1192" s="25"/>
      <c r="U1192" s="14"/>
      <c r="V1192" s="14"/>
      <c r="W1192" s="24"/>
      <c r="X1192" s="14"/>
    </row>
    <row r="1193">
      <c r="A1193" s="14"/>
      <c r="B1193" s="22"/>
      <c r="C1193" s="14"/>
      <c r="D1193" s="14"/>
      <c r="E1193" s="14"/>
      <c r="F1193" s="14"/>
      <c r="G1193" s="14"/>
      <c r="H1193" s="14"/>
      <c r="I1193" s="14"/>
      <c r="J1193" s="14"/>
      <c r="K1193" s="14"/>
      <c r="L1193" s="14"/>
      <c r="M1193" s="14"/>
      <c r="N1193" s="14"/>
      <c r="O1193" s="14"/>
      <c r="P1193" s="14"/>
      <c r="Q1193" s="14"/>
      <c r="R1193" s="23"/>
      <c r="S1193" s="24"/>
      <c r="T1193" s="25"/>
      <c r="U1193" s="14"/>
      <c r="V1193" s="14"/>
      <c r="W1193" s="24"/>
      <c r="X1193" s="14"/>
    </row>
    <row r="1194">
      <c r="A1194" s="14"/>
      <c r="B1194" s="22"/>
      <c r="C1194" s="14"/>
      <c r="D1194" s="14"/>
      <c r="E1194" s="14"/>
      <c r="F1194" s="14"/>
      <c r="G1194" s="14"/>
      <c r="H1194" s="14"/>
      <c r="I1194" s="14"/>
      <c r="J1194" s="14"/>
      <c r="K1194" s="14"/>
      <c r="L1194" s="14"/>
      <c r="M1194" s="14"/>
      <c r="N1194" s="14"/>
      <c r="O1194" s="14"/>
      <c r="P1194" s="14"/>
      <c r="Q1194" s="14"/>
      <c r="R1194" s="23"/>
      <c r="S1194" s="24"/>
      <c r="T1194" s="25"/>
      <c r="U1194" s="14"/>
      <c r="V1194" s="14"/>
      <c r="W1194" s="24"/>
      <c r="X1194" s="14"/>
    </row>
    <row r="1195">
      <c r="A1195" s="14"/>
      <c r="B1195" s="22"/>
      <c r="C1195" s="14"/>
      <c r="D1195" s="14"/>
      <c r="E1195" s="14"/>
      <c r="F1195" s="14"/>
      <c r="G1195" s="14"/>
      <c r="H1195" s="14"/>
      <c r="I1195" s="14"/>
      <c r="J1195" s="14"/>
      <c r="K1195" s="14"/>
      <c r="L1195" s="14"/>
      <c r="M1195" s="14"/>
      <c r="N1195" s="14"/>
      <c r="O1195" s="14"/>
      <c r="P1195" s="14"/>
      <c r="Q1195" s="14"/>
      <c r="R1195" s="23"/>
      <c r="S1195" s="24"/>
      <c r="T1195" s="25"/>
      <c r="U1195" s="14"/>
      <c r="V1195" s="14"/>
      <c r="W1195" s="24"/>
      <c r="X1195" s="14"/>
    </row>
    <row r="1196">
      <c r="A1196" s="14"/>
      <c r="B1196" s="22"/>
      <c r="C1196" s="14"/>
      <c r="D1196" s="14"/>
      <c r="E1196" s="14"/>
      <c r="F1196" s="14"/>
      <c r="G1196" s="14"/>
      <c r="H1196" s="14"/>
      <c r="I1196" s="14"/>
      <c r="J1196" s="14"/>
      <c r="K1196" s="14"/>
      <c r="L1196" s="14"/>
      <c r="M1196" s="14"/>
      <c r="N1196" s="14"/>
      <c r="O1196" s="14"/>
      <c r="P1196" s="14"/>
      <c r="Q1196" s="14"/>
      <c r="R1196" s="23"/>
      <c r="S1196" s="24"/>
      <c r="T1196" s="25"/>
      <c r="U1196" s="14"/>
      <c r="V1196" s="14"/>
      <c r="W1196" s="24"/>
      <c r="X1196" s="14"/>
    </row>
    <row r="1197">
      <c r="A1197" s="14"/>
      <c r="B1197" s="22"/>
      <c r="C1197" s="14"/>
      <c r="D1197" s="14"/>
      <c r="E1197" s="14"/>
      <c r="F1197" s="14"/>
      <c r="G1197" s="14"/>
      <c r="H1197" s="14"/>
      <c r="I1197" s="14"/>
      <c r="J1197" s="14"/>
      <c r="K1197" s="14"/>
      <c r="L1197" s="14"/>
      <c r="M1197" s="14"/>
      <c r="N1197" s="14"/>
      <c r="O1197" s="14"/>
      <c r="P1197" s="14"/>
      <c r="Q1197" s="14"/>
      <c r="R1197" s="23"/>
      <c r="S1197" s="24"/>
      <c r="T1197" s="25"/>
      <c r="U1197" s="14"/>
      <c r="V1197" s="14"/>
      <c r="W1197" s="24"/>
      <c r="X1197" s="14"/>
    </row>
    <row r="1198">
      <c r="A1198" s="14"/>
      <c r="B1198" s="22"/>
      <c r="C1198" s="14"/>
      <c r="D1198" s="14"/>
      <c r="E1198" s="14"/>
      <c r="F1198" s="14"/>
      <c r="G1198" s="14"/>
      <c r="H1198" s="14"/>
      <c r="I1198" s="14"/>
      <c r="J1198" s="14"/>
      <c r="K1198" s="14"/>
      <c r="L1198" s="14"/>
      <c r="M1198" s="14"/>
      <c r="N1198" s="14"/>
      <c r="O1198" s="14"/>
      <c r="P1198" s="14"/>
      <c r="Q1198" s="14"/>
      <c r="R1198" s="23"/>
      <c r="S1198" s="24"/>
      <c r="T1198" s="25"/>
      <c r="U1198" s="14"/>
      <c r="V1198" s="14"/>
      <c r="W1198" s="24"/>
      <c r="X1198" s="14"/>
    </row>
    <row r="1199">
      <c r="A1199" s="14"/>
      <c r="B1199" s="22"/>
      <c r="C1199" s="14"/>
      <c r="D1199" s="14"/>
      <c r="E1199" s="14"/>
      <c r="F1199" s="14"/>
      <c r="G1199" s="14"/>
      <c r="H1199" s="14"/>
      <c r="I1199" s="14"/>
      <c r="J1199" s="14"/>
      <c r="K1199" s="14"/>
      <c r="L1199" s="14"/>
      <c r="M1199" s="14"/>
      <c r="N1199" s="14"/>
      <c r="O1199" s="14"/>
      <c r="P1199" s="14"/>
      <c r="Q1199" s="14"/>
      <c r="R1199" s="23"/>
      <c r="S1199" s="24"/>
      <c r="T1199" s="25"/>
      <c r="U1199" s="14"/>
      <c r="V1199" s="14"/>
      <c r="W1199" s="24"/>
      <c r="X1199" s="14"/>
    </row>
    <row r="1200">
      <c r="A1200" s="14"/>
      <c r="B1200" s="22"/>
      <c r="C1200" s="14"/>
      <c r="D1200" s="14"/>
      <c r="E1200" s="14"/>
      <c r="F1200" s="14"/>
      <c r="G1200" s="14"/>
      <c r="H1200" s="14"/>
      <c r="I1200" s="14"/>
      <c r="J1200" s="14"/>
      <c r="K1200" s="14"/>
      <c r="L1200" s="14"/>
      <c r="M1200" s="14"/>
      <c r="N1200" s="14"/>
      <c r="O1200" s="14"/>
      <c r="P1200" s="14"/>
      <c r="Q1200" s="14"/>
      <c r="R1200" s="23"/>
      <c r="S1200" s="24"/>
      <c r="T1200" s="25"/>
      <c r="U1200" s="14"/>
      <c r="V1200" s="14"/>
      <c r="W1200" s="24"/>
      <c r="X1200" s="14"/>
    </row>
    <row r="1201">
      <c r="A1201" s="14"/>
      <c r="B1201" s="22"/>
      <c r="C1201" s="14"/>
      <c r="D1201" s="14"/>
      <c r="E1201" s="14"/>
      <c r="F1201" s="14"/>
      <c r="G1201" s="14"/>
      <c r="H1201" s="14"/>
      <c r="I1201" s="14"/>
      <c r="J1201" s="14"/>
      <c r="K1201" s="14"/>
      <c r="L1201" s="14"/>
      <c r="M1201" s="14"/>
      <c r="N1201" s="14"/>
      <c r="O1201" s="14"/>
      <c r="P1201" s="14"/>
      <c r="Q1201" s="14"/>
      <c r="R1201" s="23"/>
      <c r="S1201" s="24"/>
      <c r="T1201" s="25"/>
      <c r="U1201" s="14"/>
      <c r="V1201" s="14"/>
      <c r="W1201" s="24"/>
      <c r="X1201" s="14"/>
    </row>
    <row r="1202">
      <c r="A1202" s="14"/>
      <c r="B1202" s="22"/>
      <c r="C1202" s="14"/>
      <c r="D1202" s="14"/>
      <c r="E1202" s="14"/>
      <c r="F1202" s="14"/>
      <c r="G1202" s="14"/>
      <c r="H1202" s="14"/>
      <c r="I1202" s="14"/>
      <c r="J1202" s="14"/>
      <c r="K1202" s="14"/>
      <c r="L1202" s="14"/>
      <c r="M1202" s="14"/>
      <c r="N1202" s="14"/>
      <c r="O1202" s="14"/>
      <c r="P1202" s="14"/>
      <c r="Q1202" s="14"/>
      <c r="R1202" s="23"/>
      <c r="S1202" s="24"/>
      <c r="T1202" s="25"/>
      <c r="U1202" s="14"/>
      <c r="V1202" s="14"/>
      <c r="W1202" s="24"/>
      <c r="X1202" s="14"/>
    </row>
    <row r="1203">
      <c r="A1203" s="14"/>
      <c r="B1203" s="22"/>
      <c r="C1203" s="14"/>
      <c r="D1203" s="14"/>
      <c r="E1203" s="14"/>
      <c r="F1203" s="14"/>
      <c r="G1203" s="14"/>
      <c r="H1203" s="14"/>
      <c r="I1203" s="14"/>
      <c r="J1203" s="14"/>
      <c r="K1203" s="14"/>
      <c r="L1203" s="14"/>
      <c r="M1203" s="14"/>
      <c r="N1203" s="14"/>
      <c r="O1203" s="14"/>
      <c r="P1203" s="14"/>
      <c r="Q1203" s="14"/>
      <c r="R1203" s="23"/>
      <c r="S1203" s="24"/>
      <c r="T1203" s="25"/>
      <c r="U1203" s="14"/>
      <c r="V1203" s="14"/>
      <c r="W1203" s="24"/>
      <c r="X1203" s="14"/>
    </row>
    <row r="1204">
      <c r="A1204" s="14"/>
      <c r="B1204" s="22"/>
      <c r="C1204" s="14"/>
      <c r="D1204" s="14"/>
      <c r="E1204" s="14"/>
      <c r="F1204" s="14"/>
      <c r="G1204" s="14"/>
      <c r="H1204" s="14"/>
      <c r="I1204" s="14"/>
      <c r="J1204" s="14"/>
      <c r="K1204" s="14"/>
      <c r="L1204" s="14"/>
      <c r="M1204" s="14"/>
      <c r="N1204" s="14"/>
      <c r="O1204" s="14"/>
      <c r="P1204" s="14"/>
      <c r="Q1204" s="14"/>
      <c r="R1204" s="23"/>
      <c r="S1204" s="24"/>
      <c r="T1204" s="25"/>
      <c r="U1204" s="14"/>
      <c r="V1204" s="14"/>
      <c r="W1204" s="24"/>
      <c r="X1204" s="14"/>
    </row>
    <row r="1205">
      <c r="A1205" s="14"/>
      <c r="B1205" s="22"/>
      <c r="C1205" s="14"/>
      <c r="D1205" s="14"/>
      <c r="E1205" s="14"/>
      <c r="F1205" s="14"/>
      <c r="G1205" s="14"/>
      <c r="H1205" s="14"/>
      <c r="I1205" s="14"/>
      <c r="J1205" s="14"/>
      <c r="K1205" s="14"/>
      <c r="L1205" s="14"/>
      <c r="M1205" s="14"/>
      <c r="N1205" s="14"/>
      <c r="O1205" s="14"/>
      <c r="P1205" s="14"/>
      <c r="Q1205" s="14"/>
      <c r="R1205" s="23"/>
      <c r="S1205" s="24"/>
      <c r="T1205" s="25"/>
      <c r="U1205" s="14"/>
      <c r="V1205" s="14"/>
      <c r="W1205" s="24"/>
      <c r="X1205" s="14"/>
    </row>
    <row r="1206">
      <c r="A1206" s="14"/>
      <c r="B1206" s="22"/>
      <c r="C1206" s="14"/>
      <c r="D1206" s="14"/>
      <c r="E1206" s="14"/>
      <c r="F1206" s="14"/>
      <c r="G1206" s="14"/>
      <c r="H1206" s="14"/>
      <c r="I1206" s="14"/>
      <c r="J1206" s="14"/>
      <c r="K1206" s="14"/>
      <c r="L1206" s="14"/>
      <c r="M1206" s="14"/>
      <c r="N1206" s="14"/>
      <c r="O1206" s="14"/>
      <c r="P1206" s="14"/>
      <c r="Q1206" s="14"/>
      <c r="R1206" s="23"/>
      <c r="S1206" s="24"/>
      <c r="T1206" s="25"/>
      <c r="U1206" s="14"/>
      <c r="V1206" s="14"/>
      <c r="W1206" s="24"/>
      <c r="X1206" s="14"/>
    </row>
    <row r="1207">
      <c r="A1207" s="14"/>
      <c r="B1207" s="22"/>
      <c r="C1207" s="14"/>
      <c r="D1207" s="14"/>
      <c r="E1207" s="14"/>
      <c r="F1207" s="14"/>
      <c r="G1207" s="14"/>
      <c r="H1207" s="14"/>
      <c r="I1207" s="14"/>
      <c r="J1207" s="14"/>
      <c r="K1207" s="14"/>
      <c r="L1207" s="14"/>
      <c r="M1207" s="14"/>
      <c r="N1207" s="14"/>
      <c r="O1207" s="14"/>
      <c r="P1207" s="14"/>
      <c r="Q1207" s="14"/>
      <c r="R1207" s="23"/>
      <c r="S1207" s="24"/>
      <c r="T1207" s="25"/>
      <c r="U1207" s="14"/>
      <c r="V1207" s="14"/>
      <c r="W1207" s="24"/>
      <c r="X1207" s="14"/>
    </row>
    <row r="1208">
      <c r="A1208" s="14"/>
      <c r="B1208" s="22"/>
      <c r="C1208" s="14"/>
      <c r="D1208" s="14"/>
      <c r="E1208" s="14"/>
      <c r="F1208" s="14"/>
      <c r="G1208" s="14"/>
      <c r="H1208" s="14"/>
      <c r="I1208" s="14"/>
      <c r="J1208" s="14"/>
      <c r="K1208" s="14"/>
      <c r="L1208" s="14"/>
      <c r="M1208" s="14"/>
      <c r="N1208" s="14"/>
      <c r="O1208" s="14"/>
      <c r="P1208" s="14"/>
      <c r="Q1208" s="14"/>
      <c r="R1208" s="23"/>
      <c r="S1208" s="24"/>
      <c r="T1208" s="25"/>
      <c r="U1208" s="14"/>
      <c r="V1208" s="14"/>
      <c r="W1208" s="24"/>
      <c r="X1208" s="14"/>
    </row>
    <row r="1209">
      <c r="A1209" s="14"/>
      <c r="B1209" s="22"/>
      <c r="C1209" s="14"/>
      <c r="D1209" s="14"/>
      <c r="E1209" s="14"/>
      <c r="F1209" s="14"/>
      <c r="G1209" s="14"/>
      <c r="H1209" s="14"/>
      <c r="I1209" s="14"/>
      <c r="J1209" s="14"/>
      <c r="K1209" s="14"/>
      <c r="L1209" s="14"/>
      <c r="M1209" s="14"/>
      <c r="N1209" s="14"/>
      <c r="O1209" s="14"/>
      <c r="P1209" s="14"/>
      <c r="Q1209" s="14"/>
      <c r="R1209" s="23"/>
      <c r="S1209" s="24"/>
      <c r="T1209" s="25"/>
      <c r="U1209" s="14"/>
      <c r="V1209" s="14"/>
      <c r="W1209" s="24"/>
      <c r="X1209" s="14"/>
    </row>
    <row r="1210">
      <c r="A1210" s="14"/>
      <c r="B1210" s="22"/>
      <c r="C1210" s="14"/>
      <c r="D1210" s="14"/>
      <c r="E1210" s="14"/>
      <c r="F1210" s="14"/>
      <c r="G1210" s="14"/>
      <c r="H1210" s="14"/>
      <c r="I1210" s="14"/>
      <c r="J1210" s="14"/>
      <c r="K1210" s="14"/>
      <c r="L1210" s="14"/>
      <c r="M1210" s="14"/>
      <c r="N1210" s="14"/>
      <c r="O1210" s="14"/>
      <c r="P1210" s="14"/>
      <c r="Q1210" s="14"/>
      <c r="R1210" s="23"/>
      <c r="S1210" s="24"/>
      <c r="T1210" s="25"/>
      <c r="U1210" s="14"/>
      <c r="V1210" s="14"/>
      <c r="W1210" s="24"/>
      <c r="X1210" s="14"/>
    </row>
    <row r="1211">
      <c r="A1211" s="14"/>
      <c r="B1211" s="22"/>
      <c r="C1211" s="14"/>
      <c r="D1211" s="14"/>
      <c r="E1211" s="14"/>
      <c r="F1211" s="14"/>
      <c r="G1211" s="14"/>
      <c r="H1211" s="14"/>
      <c r="I1211" s="14"/>
      <c r="J1211" s="14"/>
      <c r="K1211" s="14"/>
      <c r="L1211" s="14"/>
      <c r="M1211" s="14"/>
      <c r="N1211" s="14"/>
      <c r="O1211" s="14"/>
      <c r="P1211" s="14"/>
      <c r="Q1211" s="14"/>
      <c r="R1211" s="23"/>
      <c r="S1211" s="24"/>
      <c r="T1211" s="25"/>
      <c r="U1211" s="14"/>
      <c r="V1211" s="14"/>
      <c r="W1211" s="24"/>
      <c r="X1211" s="14"/>
    </row>
    <row r="1212">
      <c r="A1212" s="14"/>
      <c r="B1212" s="22"/>
      <c r="C1212" s="14"/>
      <c r="D1212" s="14"/>
      <c r="E1212" s="14"/>
      <c r="F1212" s="14"/>
      <c r="G1212" s="14"/>
      <c r="H1212" s="14"/>
      <c r="I1212" s="14"/>
      <c r="J1212" s="14"/>
      <c r="K1212" s="14"/>
      <c r="L1212" s="14"/>
      <c r="M1212" s="14"/>
      <c r="N1212" s="14"/>
      <c r="O1212" s="14"/>
      <c r="P1212" s="14"/>
      <c r="Q1212" s="14"/>
      <c r="R1212" s="23"/>
      <c r="S1212" s="24"/>
      <c r="T1212" s="25"/>
      <c r="U1212" s="14"/>
      <c r="V1212" s="14"/>
      <c r="W1212" s="24"/>
      <c r="X1212" s="14"/>
    </row>
    <row r="1213">
      <c r="A1213" s="14"/>
      <c r="B1213" s="22"/>
      <c r="C1213" s="14"/>
      <c r="D1213" s="14"/>
      <c r="E1213" s="14"/>
      <c r="F1213" s="14"/>
      <c r="G1213" s="14"/>
      <c r="H1213" s="14"/>
      <c r="I1213" s="14"/>
      <c r="J1213" s="14"/>
      <c r="K1213" s="14"/>
      <c r="L1213" s="14"/>
      <c r="M1213" s="14"/>
      <c r="N1213" s="14"/>
      <c r="O1213" s="14"/>
      <c r="P1213" s="14"/>
      <c r="Q1213" s="14"/>
      <c r="R1213" s="23"/>
      <c r="S1213" s="24"/>
      <c r="T1213" s="25"/>
      <c r="U1213" s="14"/>
      <c r="V1213" s="14"/>
      <c r="W1213" s="24"/>
      <c r="X1213" s="14"/>
    </row>
    <row r="1214">
      <c r="A1214" s="14"/>
      <c r="B1214" s="22"/>
      <c r="C1214" s="14"/>
      <c r="D1214" s="14"/>
      <c r="E1214" s="14"/>
      <c r="F1214" s="14"/>
      <c r="G1214" s="14"/>
      <c r="H1214" s="14"/>
      <c r="I1214" s="14"/>
      <c r="J1214" s="14"/>
      <c r="K1214" s="14"/>
      <c r="L1214" s="14"/>
      <c r="M1214" s="14"/>
      <c r="N1214" s="14"/>
      <c r="O1214" s="14"/>
      <c r="P1214" s="14"/>
      <c r="Q1214" s="14"/>
      <c r="R1214" s="23"/>
      <c r="S1214" s="24"/>
      <c r="T1214" s="25"/>
      <c r="U1214" s="14"/>
      <c r="V1214" s="14"/>
      <c r="W1214" s="24"/>
      <c r="X1214" s="14"/>
    </row>
    <row r="1215">
      <c r="A1215" s="14"/>
      <c r="B1215" s="22"/>
      <c r="C1215" s="14"/>
      <c r="D1215" s="14"/>
      <c r="E1215" s="14"/>
      <c r="F1215" s="14"/>
      <c r="G1215" s="14"/>
      <c r="H1215" s="14"/>
      <c r="I1215" s="14"/>
      <c r="J1215" s="14"/>
      <c r="K1215" s="14"/>
      <c r="L1215" s="14"/>
      <c r="M1215" s="14"/>
      <c r="N1215" s="14"/>
      <c r="O1215" s="14"/>
      <c r="P1215" s="14"/>
      <c r="Q1215" s="14"/>
      <c r="R1215" s="23"/>
      <c r="S1215" s="24"/>
      <c r="T1215" s="25"/>
      <c r="U1215" s="14"/>
      <c r="V1215" s="14"/>
      <c r="W1215" s="24"/>
      <c r="X1215" s="14"/>
    </row>
    <row r="1216">
      <c r="A1216" s="14"/>
      <c r="B1216" s="22"/>
      <c r="C1216" s="14"/>
      <c r="D1216" s="14"/>
      <c r="E1216" s="14"/>
      <c r="F1216" s="14"/>
      <c r="G1216" s="14"/>
      <c r="H1216" s="14"/>
      <c r="I1216" s="14"/>
      <c r="J1216" s="14"/>
      <c r="K1216" s="14"/>
      <c r="L1216" s="14"/>
      <c r="M1216" s="14"/>
      <c r="N1216" s="14"/>
      <c r="O1216" s="14"/>
      <c r="P1216" s="14"/>
      <c r="Q1216" s="14"/>
      <c r="R1216" s="23"/>
      <c r="S1216" s="24"/>
      <c r="T1216" s="25"/>
      <c r="U1216" s="14"/>
      <c r="V1216" s="14"/>
      <c r="W1216" s="24"/>
      <c r="X1216" s="14"/>
    </row>
    <row r="1217">
      <c r="A1217" s="14"/>
      <c r="B1217" s="22"/>
      <c r="C1217" s="14"/>
      <c r="D1217" s="14"/>
      <c r="E1217" s="14"/>
      <c r="F1217" s="14"/>
      <c r="G1217" s="14"/>
      <c r="H1217" s="14"/>
      <c r="I1217" s="14"/>
      <c r="J1217" s="14"/>
      <c r="K1217" s="14"/>
      <c r="L1217" s="14"/>
      <c r="M1217" s="14"/>
      <c r="N1217" s="14"/>
      <c r="O1217" s="14"/>
      <c r="P1217" s="14"/>
      <c r="Q1217" s="14"/>
      <c r="R1217" s="23"/>
      <c r="S1217" s="24"/>
      <c r="T1217" s="25"/>
      <c r="U1217" s="14"/>
      <c r="V1217" s="14"/>
      <c r="W1217" s="24"/>
      <c r="X1217" s="14"/>
    </row>
    <row r="1218">
      <c r="A1218" s="14"/>
      <c r="B1218" s="22"/>
      <c r="C1218" s="14"/>
      <c r="D1218" s="14"/>
      <c r="E1218" s="14"/>
      <c r="F1218" s="14"/>
      <c r="G1218" s="14"/>
      <c r="H1218" s="14"/>
      <c r="I1218" s="14"/>
      <c r="J1218" s="14"/>
      <c r="K1218" s="14"/>
      <c r="L1218" s="14"/>
      <c r="M1218" s="14"/>
      <c r="N1218" s="14"/>
      <c r="O1218" s="14"/>
      <c r="P1218" s="14"/>
      <c r="Q1218" s="14"/>
      <c r="R1218" s="23"/>
      <c r="S1218" s="24"/>
      <c r="T1218" s="25"/>
      <c r="U1218" s="14"/>
      <c r="V1218" s="14"/>
      <c r="W1218" s="24"/>
      <c r="X1218" s="14"/>
    </row>
    <row r="1219">
      <c r="A1219" s="14"/>
      <c r="B1219" s="22"/>
      <c r="C1219" s="14"/>
      <c r="D1219" s="14"/>
      <c r="E1219" s="14"/>
      <c r="F1219" s="14"/>
      <c r="G1219" s="14"/>
      <c r="H1219" s="14"/>
      <c r="I1219" s="14"/>
      <c r="J1219" s="14"/>
      <c r="K1219" s="14"/>
      <c r="L1219" s="14"/>
      <c r="M1219" s="14"/>
      <c r="N1219" s="14"/>
      <c r="O1219" s="14"/>
      <c r="P1219" s="14"/>
      <c r="Q1219" s="14"/>
      <c r="R1219" s="23"/>
      <c r="S1219" s="24"/>
      <c r="T1219" s="25"/>
      <c r="U1219" s="14"/>
      <c r="V1219" s="14"/>
      <c r="W1219" s="24"/>
      <c r="X1219" s="14"/>
    </row>
    <row r="1220">
      <c r="A1220" s="14"/>
      <c r="B1220" s="22"/>
      <c r="C1220" s="14"/>
      <c r="D1220" s="14"/>
      <c r="E1220" s="14"/>
      <c r="F1220" s="14"/>
      <c r="G1220" s="14"/>
      <c r="H1220" s="14"/>
      <c r="I1220" s="14"/>
      <c r="J1220" s="14"/>
      <c r="K1220" s="14"/>
      <c r="L1220" s="14"/>
      <c r="M1220" s="14"/>
      <c r="N1220" s="14"/>
      <c r="O1220" s="14"/>
      <c r="P1220" s="14"/>
      <c r="Q1220" s="14"/>
      <c r="R1220" s="23"/>
      <c r="S1220" s="24"/>
      <c r="T1220" s="25"/>
      <c r="U1220" s="14"/>
      <c r="V1220" s="14"/>
      <c r="W1220" s="24"/>
      <c r="X1220" s="14"/>
    </row>
    <row r="1221">
      <c r="A1221" s="14"/>
      <c r="B1221" s="22"/>
      <c r="C1221" s="14"/>
      <c r="D1221" s="14"/>
      <c r="E1221" s="14"/>
      <c r="F1221" s="14"/>
      <c r="G1221" s="14"/>
      <c r="H1221" s="14"/>
      <c r="I1221" s="14"/>
      <c r="J1221" s="14"/>
      <c r="K1221" s="14"/>
      <c r="L1221" s="14"/>
      <c r="M1221" s="14"/>
      <c r="N1221" s="14"/>
      <c r="O1221" s="14"/>
      <c r="P1221" s="14"/>
      <c r="Q1221" s="14"/>
      <c r="R1221" s="23"/>
      <c r="S1221" s="24"/>
      <c r="T1221" s="25"/>
      <c r="U1221" s="14"/>
      <c r="V1221" s="14"/>
      <c r="W1221" s="24"/>
      <c r="X1221" s="14"/>
    </row>
    <row r="1222">
      <c r="A1222" s="14"/>
      <c r="B1222" s="22"/>
      <c r="C1222" s="14"/>
      <c r="D1222" s="14"/>
      <c r="E1222" s="14"/>
      <c r="F1222" s="14"/>
      <c r="G1222" s="14"/>
      <c r="H1222" s="14"/>
      <c r="I1222" s="14"/>
      <c r="J1222" s="14"/>
      <c r="K1222" s="14"/>
      <c r="L1222" s="14"/>
      <c r="M1222" s="14"/>
      <c r="N1222" s="14"/>
      <c r="O1222" s="14"/>
      <c r="P1222" s="14"/>
      <c r="Q1222" s="14"/>
      <c r="R1222" s="23"/>
      <c r="S1222" s="24"/>
      <c r="T1222" s="25"/>
      <c r="U1222" s="14"/>
      <c r="V1222" s="14"/>
      <c r="W1222" s="24"/>
      <c r="X1222" s="14"/>
    </row>
    <row r="1223">
      <c r="A1223" s="14"/>
      <c r="B1223" s="22"/>
      <c r="C1223" s="14"/>
      <c r="D1223" s="14"/>
      <c r="E1223" s="14"/>
      <c r="F1223" s="14"/>
      <c r="G1223" s="14"/>
      <c r="H1223" s="14"/>
      <c r="I1223" s="14"/>
      <c r="J1223" s="14"/>
      <c r="K1223" s="14"/>
      <c r="L1223" s="14"/>
      <c r="M1223" s="14"/>
      <c r="N1223" s="14"/>
      <c r="O1223" s="14"/>
      <c r="P1223" s="14"/>
      <c r="Q1223" s="14"/>
      <c r="R1223" s="23"/>
      <c r="S1223" s="24"/>
      <c r="T1223" s="25"/>
      <c r="U1223" s="14"/>
      <c r="V1223" s="14"/>
      <c r="W1223" s="24"/>
      <c r="X1223" s="14"/>
    </row>
    <row r="1224">
      <c r="A1224" s="14"/>
      <c r="B1224" s="22"/>
      <c r="C1224" s="14"/>
      <c r="D1224" s="14"/>
      <c r="E1224" s="14"/>
      <c r="F1224" s="14"/>
      <c r="G1224" s="14"/>
      <c r="H1224" s="14"/>
      <c r="I1224" s="14"/>
      <c r="J1224" s="14"/>
      <c r="K1224" s="14"/>
      <c r="L1224" s="14"/>
      <c r="M1224" s="14"/>
      <c r="N1224" s="14"/>
      <c r="O1224" s="14"/>
      <c r="P1224" s="14"/>
      <c r="Q1224" s="14"/>
      <c r="R1224" s="23"/>
      <c r="S1224" s="24"/>
      <c r="T1224" s="25"/>
      <c r="U1224" s="14"/>
      <c r="V1224" s="14"/>
      <c r="W1224" s="24"/>
      <c r="X1224" s="14"/>
    </row>
    <row r="1225">
      <c r="A1225" s="14"/>
      <c r="B1225" s="22"/>
      <c r="C1225" s="14"/>
      <c r="D1225" s="14"/>
      <c r="E1225" s="14"/>
      <c r="F1225" s="14"/>
      <c r="G1225" s="14"/>
      <c r="H1225" s="14"/>
      <c r="I1225" s="14"/>
      <c r="J1225" s="14"/>
      <c r="K1225" s="14"/>
      <c r="L1225" s="14"/>
      <c r="M1225" s="14"/>
      <c r="N1225" s="14"/>
      <c r="O1225" s="14"/>
      <c r="P1225" s="14"/>
      <c r="Q1225" s="14"/>
      <c r="R1225" s="23"/>
      <c r="S1225" s="24"/>
      <c r="T1225" s="25"/>
      <c r="U1225" s="14"/>
      <c r="V1225" s="14"/>
      <c r="W1225" s="24"/>
      <c r="X1225" s="14"/>
    </row>
    <row r="1226">
      <c r="A1226" s="14"/>
      <c r="B1226" s="22"/>
      <c r="C1226" s="14"/>
      <c r="D1226" s="14"/>
      <c r="E1226" s="14"/>
      <c r="F1226" s="14"/>
      <c r="G1226" s="14"/>
      <c r="H1226" s="14"/>
      <c r="I1226" s="14"/>
      <c r="J1226" s="14"/>
      <c r="K1226" s="14"/>
      <c r="L1226" s="14"/>
      <c r="M1226" s="14"/>
      <c r="N1226" s="14"/>
      <c r="O1226" s="14"/>
      <c r="P1226" s="14"/>
      <c r="Q1226" s="14"/>
      <c r="R1226" s="23"/>
      <c r="S1226" s="24"/>
      <c r="T1226" s="25"/>
      <c r="U1226" s="14"/>
      <c r="V1226" s="14"/>
      <c r="W1226" s="24"/>
      <c r="X1226" s="14"/>
    </row>
    <row r="1227">
      <c r="A1227" s="14"/>
      <c r="B1227" s="22"/>
      <c r="C1227" s="14"/>
      <c r="D1227" s="14"/>
      <c r="E1227" s="14"/>
      <c r="F1227" s="14"/>
      <c r="G1227" s="14"/>
      <c r="H1227" s="14"/>
      <c r="I1227" s="14"/>
      <c r="J1227" s="14"/>
      <c r="K1227" s="14"/>
      <c r="L1227" s="14"/>
      <c r="M1227" s="14"/>
      <c r="N1227" s="14"/>
      <c r="O1227" s="14"/>
      <c r="P1227" s="14"/>
      <c r="Q1227" s="14"/>
      <c r="R1227" s="23"/>
      <c r="S1227" s="24"/>
      <c r="T1227" s="25"/>
      <c r="U1227" s="14"/>
      <c r="V1227" s="14"/>
      <c r="W1227" s="24"/>
      <c r="X1227" s="14"/>
    </row>
    <row r="1228">
      <c r="A1228" s="14"/>
      <c r="B1228" s="22"/>
      <c r="C1228" s="14"/>
      <c r="D1228" s="14"/>
      <c r="E1228" s="14"/>
      <c r="F1228" s="14"/>
      <c r="G1228" s="14"/>
      <c r="H1228" s="14"/>
      <c r="I1228" s="14"/>
      <c r="J1228" s="14"/>
      <c r="K1228" s="14"/>
      <c r="L1228" s="14"/>
      <c r="M1228" s="14"/>
      <c r="N1228" s="14"/>
      <c r="O1228" s="14"/>
      <c r="P1228" s="14"/>
      <c r="Q1228" s="14"/>
      <c r="R1228" s="23"/>
      <c r="S1228" s="24"/>
      <c r="T1228" s="25"/>
      <c r="U1228" s="14"/>
      <c r="V1228" s="14"/>
      <c r="W1228" s="24"/>
      <c r="X1228" s="14"/>
    </row>
    <row r="1229">
      <c r="A1229" s="14"/>
      <c r="B1229" s="22"/>
      <c r="C1229" s="14"/>
      <c r="D1229" s="14"/>
      <c r="E1229" s="14"/>
      <c r="F1229" s="14"/>
      <c r="G1229" s="14"/>
      <c r="H1229" s="14"/>
      <c r="I1229" s="14"/>
      <c r="J1229" s="14"/>
      <c r="K1229" s="14"/>
      <c r="L1229" s="14"/>
      <c r="M1229" s="14"/>
      <c r="N1229" s="14"/>
      <c r="O1229" s="14"/>
      <c r="P1229" s="14"/>
      <c r="Q1229" s="14"/>
      <c r="R1229" s="23"/>
      <c r="S1229" s="24"/>
      <c r="T1229" s="25"/>
      <c r="U1229" s="14"/>
      <c r="V1229" s="14"/>
      <c r="W1229" s="24"/>
      <c r="X1229" s="14"/>
    </row>
    <row r="1230">
      <c r="A1230" s="14"/>
      <c r="B1230" s="22"/>
      <c r="C1230" s="14"/>
      <c r="D1230" s="14"/>
      <c r="E1230" s="14"/>
      <c r="F1230" s="14"/>
      <c r="G1230" s="14"/>
      <c r="H1230" s="14"/>
      <c r="I1230" s="14"/>
      <c r="J1230" s="14"/>
      <c r="K1230" s="14"/>
      <c r="L1230" s="14"/>
      <c r="M1230" s="14"/>
      <c r="N1230" s="14"/>
      <c r="O1230" s="14"/>
      <c r="P1230" s="14"/>
      <c r="Q1230" s="14"/>
      <c r="R1230" s="23"/>
      <c r="S1230" s="24"/>
      <c r="T1230" s="25"/>
      <c r="U1230" s="14"/>
      <c r="V1230" s="14"/>
      <c r="W1230" s="24"/>
      <c r="X1230" s="14"/>
    </row>
    <row r="1231">
      <c r="A1231" s="14"/>
      <c r="B1231" s="22"/>
      <c r="C1231" s="14"/>
      <c r="D1231" s="14"/>
      <c r="E1231" s="14"/>
      <c r="F1231" s="14"/>
      <c r="G1231" s="14"/>
      <c r="H1231" s="14"/>
      <c r="I1231" s="14"/>
      <c r="J1231" s="14"/>
      <c r="K1231" s="14"/>
      <c r="L1231" s="14"/>
      <c r="M1231" s="14"/>
      <c r="N1231" s="14"/>
      <c r="O1231" s="14"/>
      <c r="P1231" s="14"/>
      <c r="Q1231" s="14"/>
      <c r="R1231" s="23"/>
      <c r="S1231" s="24"/>
      <c r="T1231" s="25"/>
      <c r="U1231" s="14"/>
      <c r="V1231" s="14"/>
      <c r="W1231" s="24"/>
      <c r="X1231" s="14"/>
    </row>
    <row r="1232">
      <c r="A1232" s="14"/>
      <c r="B1232" s="22"/>
      <c r="C1232" s="14"/>
      <c r="D1232" s="14"/>
      <c r="E1232" s="14"/>
      <c r="F1232" s="14"/>
      <c r="G1232" s="14"/>
      <c r="H1232" s="14"/>
      <c r="I1232" s="14"/>
      <c r="J1232" s="14"/>
      <c r="K1232" s="14"/>
      <c r="L1232" s="14"/>
      <c r="M1232" s="14"/>
      <c r="N1232" s="14"/>
      <c r="O1232" s="14"/>
      <c r="P1232" s="14"/>
      <c r="Q1232" s="14"/>
      <c r="R1232" s="23"/>
      <c r="S1232" s="24"/>
      <c r="T1232" s="25"/>
      <c r="U1232" s="14"/>
      <c r="V1232" s="14"/>
      <c r="W1232" s="24"/>
      <c r="X1232" s="14"/>
    </row>
    <row r="1233">
      <c r="A1233" s="14"/>
      <c r="B1233" s="22"/>
      <c r="C1233" s="14"/>
      <c r="D1233" s="14"/>
      <c r="E1233" s="14"/>
      <c r="F1233" s="14"/>
      <c r="G1233" s="14"/>
      <c r="H1233" s="14"/>
      <c r="I1233" s="14"/>
      <c r="J1233" s="14"/>
      <c r="K1233" s="14"/>
      <c r="L1233" s="14"/>
      <c r="M1233" s="14"/>
      <c r="N1233" s="14"/>
      <c r="O1233" s="14"/>
      <c r="P1233" s="14"/>
      <c r="Q1233" s="14"/>
      <c r="R1233" s="23"/>
      <c r="S1233" s="24"/>
      <c r="T1233" s="25"/>
      <c r="U1233" s="14"/>
      <c r="V1233" s="14"/>
      <c r="W1233" s="24"/>
      <c r="X1233" s="14"/>
    </row>
    <row r="1234">
      <c r="A1234" s="14"/>
      <c r="B1234" s="22"/>
      <c r="C1234" s="14"/>
      <c r="D1234" s="14"/>
      <c r="E1234" s="14"/>
      <c r="F1234" s="14"/>
      <c r="G1234" s="14"/>
      <c r="H1234" s="14"/>
      <c r="I1234" s="14"/>
      <c r="J1234" s="14"/>
      <c r="K1234" s="14"/>
      <c r="L1234" s="14"/>
      <c r="M1234" s="14"/>
      <c r="N1234" s="14"/>
      <c r="O1234" s="14"/>
      <c r="P1234" s="14"/>
      <c r="Q1234" s="14"/>
      <c r="R1234" s="23"/>
      <c r="S1234" s="24"/>
      <c r="T1234" s="25"/>
      <c r="U1234" s="14"/>
      <c r="V1234" s="14"/>
      <c r="W1234" s="24"/>
      <c r="X1234" s="14"/>
    </row>
    <row r="1235">
      <c r="A1235" s="14"/>
      <c r="B1235" s="22"/>
      <c r="C1235" s="14"/>
      <c r="D1235" s="14"/>
      <c r="E1235" s="14"/>
      <c r="F1235" s="14"/>
      <c r="G1235" s="14"/>
      <c r="H1235" s="14"/>
      <c r="I1235" s="14"/>
      <c r="J1235" s="14"/>
      <c r="K1235" s="14"/>
      <c r="L1235" s="14"/>
      <c r="M1235" s="14"/>
      <c r="N1235" s="14"/>
      <c r="O1235" s="14"/>
      <c r="P1235" s="14"/>
      <c r="Q1235" s="14"/>
      <c r="R1235" s="23"/>
      <c r="S1235" s="24"/>
      <c r="T1235" s="25"/>
      <c r="U1235" s="14"/>
      <c r="V1235" s="14"/>
      <c r="W1235" s="24"/>
      <c r="X1235" s="14"/>
    </row>
    <row r="1236">
      <c r="A1236" s="14"/>
      <c r="B1236" s="22"/>
      <c r="C1236" s="14"/>
      <c r="D1236" s="14"/>
      <c r="E1236" s="14"/>
      <c r="F1236" s="14"/>
      <c r="G1236" s="14"/>
      <c r="H1236" s="14"/>
      <c r="I1236" s="14"/>
      <c r="J1236" s="14"/>
      <c r="K1236" s="14"/>
      <c r="L1236" s="14"/>
      <c r="M1236" s="14"/>
      <c r="N1236" s="14"/>
      <c r="O1236" s="14"/>
      <c r="P1236" s="14"/>
      <c r="Q1236" s="14"/>
      <c r="R1236" s="23"/>
      <c r="S1236" s="24"/>
      <c r="T1236" s="25"/>
      <c r="U1236" s="14"/>
      <c r="V1236" s="14"/>
      <c r="W1236" s="24"/>
      <c r="X1236" s="14"/>
    </row>
    <row r="1237">
      <c r="A1237" s="14"/>
      <c r="B1237" s="22"/>
      <c r="C1237" s="14"/>
      <c r="D1237" s="14"/>
      <c r="E1237" s="14"/>
      <c r="F1237" s="14"/>
      <c r="G1237" s="14"/>
      <c r="H1237" s="14"/>
      <c r="I1237" s="14"/>
      <c r="J1237" s="14"/>
      <c r="K1237" s="14"/>
      <c r="L1237" s="14"/>
      <c r="M1237" s="14"/>
      <c r="N1237" s="14"/>
      <c r="O1237" s="14"/>
      <c r="P1237" s="14"/>
      <c r="Q1237" s="14"/>
      <c r="R1237" s="23"/>
      <c r="S1237" s="24"/>
      <c r="T1237" s="25"/>
      <c r="U1237" s="14"/>
      <c r="V1237" s="14"/>
      <c r="W1237" s="24"/>
      <c r="X1237" s="14"/>
    </row>
    <row r="1238">
      <c r="A1238" s="14"/>
      <c r="B1238" s="22"/>
      <c r="C1238" s="14"/>
      <c r="D1238" s="14"/>
      <c r="E1238" s="14"/>
      <c r="F1238" s="14"/>
      <c r="G1238" s="14"/>
      <c r="H1238" s="14"/>
      <c r="I1238" s="14"/>
      <c r="J1238" s="14"/>
      <c r="K1238" s="14"/>
      <c r="L1238" s="14"/>
      <c r="M1238" s="14"/>
      <c r="N1238" s="14"/>
      <c r="O1238" s="14"/>
      <c r="P1238" s="14"/>
      <c r="Q1238" s="14"/>
      <c r="R1238" s="23"/>
      <c r="S1238" s="24"/>
      <c r="T1238" s="25"/>
      <c r="U1238" s="14"/>
      <c r="V1238" s="14"/>
      <c r="W1238" s="24"/>
      <c r="X1238" s="14"/>
    </row>
    <row r="1239">
      <c r="A1239" s="14"/>
      <c r="B1239" s="22"/>
      <c r="C1239" s="14"/>
      <c r="D1239" s="14"/>
      <c r="E1239" s="14"/>
      <c r="F1239" s="14"/>
      <c r="G1239" s="14"/>
      <c r="H1239" s="14"/>
      <c r="I1239" s="14"/>
      <c r="J1239" s="14"/>
      <c r="K1239" s="14"/>
      <c r="L1239" s="14"/>
      <c r="M1239" s="14"/>
      <c r="N1239" s="14"/>
      <c r="O1239" s="14"/>
      <c r="P1239" s="14"/>
      <c r="Q1239" s="14"/>
      <c r="R1239" s="23"/>
      <c r="S1239" s="24"/>
      <c r="T1239" s="25"/>
      <c r="U1239" s="14"/>
      <c r="V1239" s="14"/>
      <c r="W1239" s="24"/>
      <c r="X1239" s="14"/>
    </row>
    <row r="1240">
      <c r="A1240" s="14"/>
      <c r="B1240" s="22"/>
      <c r="C1240" s="14"/>
      <c r="D1240" s="14"/>
      <c r="E1240" s="14"/>
      <c r="F1240" s="14"/>
      <c r="G1240" s="14"/>
      <c r="H1240" s="14"/>
      <c r="I1240" s="14"/>
      <c r="J1240" s="14"/>
      <c r="K1240" s="14"/>
      <c r="L1240" s="14"/>
      <c r="M1240" s="14"/>
      <c r="N1240" s="14"/>
      <c r="O1240" s="14"/>
      <c r="P1240" s="14"/>
      <c r="Q1240" s="14"/>
      <c r="R1240" s="23"/>
      <c r="S1240" s="24"/>
      <c r="T1240" s="25"/>
      <c r="U1240" s="14"/>
      <c r="V1240" s="14"/>
      <c r="W1240" s="24"/>
      <c r="X1240" s="14"/>
    </row>
    <row r="1241">
      <c r="A1241" s="14"/>
      <c r="B1241" s="22"/>
      <c r="C1241" s="14"/>
      <c r="D1241" s="14"/>
      <c r="E1241" s="14"/>
      <c r="F1241" s="14"/>
      <c r="G1241" s="14"/>
      <c r="H1241" s="14"/>
      <c r="I1241" s="14"/>
      <c r="J1241" s="14"/>
      <c r="K1241" s="14"/>
      <c r="L1241" s="14"/>
      <c r="M1241" s="14"/>
      <c r="N1241" s="14"/>
      <c r="O1241" s="14"/>
      <c r="P1241" s="14"/>
      <c r="Q1241" s="14"/>
      <c r="R1241" s="23"/>
      <c r="S1241" s="24"/>
      <c r="T1241" s="25"/>
      <c r="U1241" s="14"/>
      <c r="V1241" s="14"/>
      <c r="W1241" s="24"/>
      <c r="X1241" s="14"/>
    </row>
    <row r="1242">
      <c r="A1242" s="14"/>
      <c r="B1242" s="22"/>
      <c r="C1242" s="14"/>
      <c r="D1242" s="14"/>
      <c r="E1242" s="14"/>
      <c r="F1242" s="14"/>
      <c r="G1242" s="14"/>
      <c r="H1242" s="14"/>
      <c r="I1242" s="14"/>
      <c r="J1242" s="14"/>
      <c r="K1242" s="14"/>
      <c r="L1242" s="14"/>
      <c r="M1242" s="14"/>
      <c r="N1242" s="14"/>
      <c r="O1242" s="14"/>
      <c r="P1242" s="14"/>
      <c r="Q1242" s="14"/>
      <c r="R1242" s="23"/>
      <c r="S1242" s="24"/>
      <c r="T1242" s="25"/>
      <c r="U1242" s="14"/>
      <c r="V1242" s="14"/>
      <c r="W1242" s="24"/>
      <c r="X1242" s="14"/>
    </row>
  </sheetData>
  <hyperlinks>
    <hyperlink r:id="rId2" ref="Q2"/>
    <hyperlink r:id="rId3" ref="R2"/>
    <hyperlink r:id="rId4" ref="U2"/>
    <hyperlink r:id="rId5" ref="V2"/>
    <hyperlink r:id="rId6" ref="Q3"/>
    <hyperlink r:id="rId7" ref="R3"/>
    <hyperlink r:id="rId8" ref="U3"/>
    <hyperlink r:id="rId9" ref="V3"/>
    <hyperlink r:id="rId10" ref="Q4"/>
    <hyperlink r:id="rId11" ref="R4"/>
    <hyperlink r:id="rId12" ref="U4"/>
    <hyperlink r:id="rId13" ref="V4"/>
    <hyperlink r:id="rId14" ref="Q5"/>
    <hyperlink r:id="rId15" ref="R5"/>
    <hyperlink r:id="rId16" ref="U5"/>
    <hyperlink r:id="rId17" ref="V5"/>
    <hyperlink r:id="rId18" ref="Q6"/>
    <hyperlink r:id="rId19" ref="R6"/>
    <hyperlink r:id="rId20" ref="U6"/>
    <hyperlink r:id="rId21" ref="V6"/>
    <hyperlink r:id="rId22" ref="Q7"/>
    <hyperlink r:id="rId23" ref="R7"/>
    <hyperlink r:id="rId24" ref="U7"/>
    <hyperlink r:id="rId25" ref="V7"/>
    <hyperlink r:id="rId26" ref="Q8"/>
    <hyperlink r:id="rId27" ref="R8"/>
    <hyperlink r:id="rId28" ref="U8"/>
    <hyperlink r:id="rId29" ref="V8"/>
    <hyperlink r:id="rId30" ref="Q9"/>
    <hyperlink r:id="rId31" ref="R9"/>
    <hyperlink r:id="rId32" ref="U9"/>
    <hyperlink r:id="rId33" ref="V9"/>
    <hyperlink r:id="rId34" ref="Q10"/>
    <hyperlink r:id="rId35" ref="R10"/>
    <hyperlink r:id="rId36" ref="U10"/>
    <hyperlink r:id="rId37" ref="V10"/>
    <hyperlink r:id="rId38" ref="Q11"/>
    <hyperlink r:id="rId39" ref="R11"/>
    <hyperlink r:id="rId40" ref="U11"/>
    <hyperlink r:id="rId41" ref="V11"/>
    <hyperlink r:id="rId42" ref="Q12"/>
    <hyperlink r:id="rId43" ref="R12"/>
    <hyperlink r:id="rId44" ref="U12"/>
    <hyperlink r:id="rId45" ref="V12"/>
    <hyperlink r:id="rId46" ref="Q13"/>
    <hyperlink r:id="rId47" ref="R13"/>
    <hyperlink r:id="rId48" ref="U13"/>
    <hyperlink r:id="rId49" ref="V13"/>
    <hyperlink r:id="rId50" ref="Q14"/>
    <hyperlink r:id="rId51" ref="R14"/>
    <hyperlink r:id="rId52" ref="U14"/>
    <hyperlink r:id="rId53" ref="V14"/>
    <hyperlink r:id="rId54" ref="Q15"/>
    <hyperlink r:id="rId55" ref="R15"/>
    <hyperlink r:id="rId56" ref="U15"/>
    <hyperlink r:id="rId57" ref="V15"/>
    <hyperlink r:id="rId58" ref="Q16"/>
    <hyperlink r:id="rId59" ref="R16"/>
    <hyperlink r:id="rId60" ref="U16"/>
    <hyperlink r:id="rId61" ref="V16"/>
    <hyperlink r:id="rId62" ref="Q17"/>
    <hyperlink r:id="rId63" ref="R17"/>
    <hyperlink r:id="rId64" ref="U17"/>
    <hyperlink r:id="rId65" ref="V17"/>
    <hyperlink r:id="rId66" ref="Q18"/>
    <hyperlink r:id="rId67" ref="R18"/>
    <hyperlink r:id="rId68" ref="U18"/>
    <hyperlink r:id="rId69" ref="V18"/>
    <hyperlink r:id="rId70" ref="Q19"/>
    <hyperlink r:id="rId71" ref="R19"/>
    <hyperlink r:id="rId72" ref="U19"/>
    <hyperlink r:id="rId73" ref="V19"/>
    <hyperlink r:id="rId74" ref="Q20"/>
    <hyperlink r:id="rId75" ref="R20"/>
    <hyperlink r:id="rId76" ref="U20"/>
    <hyperlink r:id="rId77" ref="V20"/>
    <hyperlink r:id="rId78" ref="Q21"/>
    <hyperlink r:id="rId79" ref="R21"/>
    <hyperlink r:id="rId80" ref="U21"/>
    <hyperlink r:id="rId81" ref="V21"/>
    <hyperlink r:id="rId82" ref="Q22"/>
    <hyperlink r:id="rId83" ref="R22"/>
    <hyperlink r:id="rId84" ref="U22"/>
    <hyperlink r:id="rId85" ref="V22"/>
    <hyperlink r:id="rId86" ref="Q23"/>
    <hyperlink r:id="rId87" ref="R23"/>
    <hyperlink r:id="rId88" ref="U23"/>
    <hyperlink r:id="rId89" ref="V23"/>
    <hyperlink r:id="rId90" ref="Q24"/>
    <hyperlink r:id="rId91" ref="R24"/>
    <hyperlink r:id="rId92" ref="U24"/>
    <hyperlink r:id="rId93" ref="V24"/>
    <hyperlink r:id="rId94" ref="Q25"/>
    <hyperlink r:id="rId95" ref="R25"/>
    <hyperlink r:id="rId96" ref="U25"/>
    <hyperlink r:id="rId97" ref="V25"/>
    <hyperlink r:id="rId98" ref="Q26"/>
    <hyperlink r:id="rId99" ref="R26"/>
    <hyperlink r:id="rId100" ref="U26"/>
    <hyperlink r:id="rId101" ref="V26"/>
    <hyperlink r:id="rId102" ref="Q27"/>
    <hyperlink r:id="rId103" ref="R27"/>
    <hyperlink r:id="rId104" ref="U27"/>
    <hyperlink r:id="rId105" ref="V27"/>
    <hyperlink r:id="rId106" ref="Q28"/>
    <hyperlink r:id="rId107" ref="R28"/>
    <hyperlink r:id="rId108" ref="U28"/>
    <hyperlink r:id="rId109" ref="V28"/>
    <hyperlink r:id="rId110" ref="Q29"/>
    <hyperlink r:id="rId111" ref="R29"/>
    <hyperlink r:id="rId112" ref="U29"/>
    <hyperlink r:id="rId113" ref="V29"/>
    <hyperlink r:id="rId114" ref="Q30"/>
    <hyperlink r:id="rId115" ref="R30"/>
    <hyperlink r:id="rId116" ref="U30"/>
    <hyperlink r:id="rId117" ref="V30"/>
    <hyperlink r:id="rId118" ref="Q31"/>
    <hyperlink r:id="rId119" ref="R31"/>
    <hyperlink r:id="rId120" ref="U31"/>
    <hyperlink r:id="rId121" ref="V31"/>
    <hyperlink r:id="rId122" ref="Q32"/>
    <hyperlink r:id="rId123" ref="R32"/>
    <hyperlink r:id="rId124" ref="U32"/>
    <hyperlink r:id="rId125" ref="V32"/>
    <hyperlink r:id="rId126" ref="Q33"/>
    <hyperlink r:id="rId127" ref="R33"/>
    <hyperlink r:id="rId128" ref="U33"/>
    <hyperlink r:id="rId129" ref="V33"/>
    <hyperlink r:id="rId130" ref="Q34"/>
    <hyperlink r:id="rId131" ref="R34"/>
    <hyperlink r:id="rId132" ref="U34"/>
    <hyperlink r:id="rId133" ref="V34"/>
    <hyperlink r:id="rId134" ref="Q35"/>
    <hyperlink r:id="rId135" ref="R35"/>
    <hyperlink r:id="rId136" ref="U35"/>
    <hyperlink r:id="rId137" ref="V35"/>
    <hyperlink r:id="rId138" ref="Q36"/>
    <hyperlink r:id="rId139" ref="R36"/>
    <hyperlink r:id="rId140" ref="U36"/>
    <hyperlink r:id="rId141" ref="V36"/>
    <hyperlink r:id="rId142" ref="Q37"/>
    <hyperlink r:id="rId143" ref="R37"/>
    <hyperlink r:id="rId144" ref="U37"/>
    <hyperlink r:id="rId145" ref="V37"/>
    <hyperlink r:id="rId146" ref="Q38"/>
    <hyperlink r:id="rId147" ref="R38"/>
    <hyperlink r:id="rId148" ref="U38"/>
    <hyperlink r:id="rId149" ref="V38"/>
    <hyperlink r:id="rId150" ref="Q39"/>
    <hyperlink r:id="rId151" ref="R39"/>
    <hyperlink r:id="rId152" ref="U39"/>
    <hyperlink r:id="rId153" ref="V39"/>
    <hyperlink r:id="rId154" ref="Q40"/>
    <hyperlink r:id="rId155" ref="R40"/>
    <hyperlink r:id="rId156" ref="U40"/>
    <hyperlink r:id="rId157" ref="V40"/>
    <hyperlink r:id="rId158" ref="Q41"/>
    <hyperlink r:id="rId159" ref="R41"/>
    <hyperlink r:id="rId160" ref="U41"/>
    <hyperlink r:id="rId161" ref="V41"/>
    <hyperlink r:id="rId162" ref="Q42"/>
    <hyperlink r:id="rId163" ref="R42"/>
    <hyperlink r:id="rId164" ref="U42"/>
    <hyperlink r:id="rId165" ref="V42"/>
    <hyperlink r:id="rId166" ref="Q43"/>
    <hyperlink r:id="rId167" ref="R43"/>
    <hyperlink r:id="rId168" ref="U43"/>
    <hyperlink r:id="rId169" ref="V43"/>
    <hyperlink r:id="rId170" ref="Q44"/>
    <hyperlink r:id="rId171" ref="R44"/>
    <hyperlink r:id="rId172" ref="U44"/>
    <hyperlink r:id="rId173" ref="V44"/>
    <hyperlink r:id="rId174" ref="Q45"/>
    <hyperlink r:id="rId175" ref="R45"/>
    <hyperlink r:id="rId176" ref="U45"/>
    <hyperlink r:id="rId177" ref="V45"/>
    <hyperlink r:id="rId178" ref="Q46"/>
    <hyperlink r:id="rId179" ref="R46"/>
    <hyperlink r:id="rId180" ref="U46"/>
    <hyperlink r:id="rId181" ref="V46"/>
    <hyperlink r:id="rId182" ref="Q47"/>
    <hyperlink r:id="rId183" ref="R47"/>
    <hyperlink r:id="rId184" ref="U47"/>
    <hyperlink r:id="rId185" ref="V47"/>
    <hyperlink r:id="rId186" ref="Q48"/>
    <hyperlink r:id="rId187" ref="R48"/>
    <hyperlink r:id="rId188" ref="U48"/>
    <hyperlink r:id="rId189" ref="V48"/>
    <hyperlink r:id="rId190" ref="Q49"/>
    <hyperlink r:id="rId191" ref="R49"/>
    <hyperlink r:id="rId192" ref="U49"/>
    <hyperlink r:id="rId193" ref="V49"/>
    <hyperlink r:id="rId194" ref="Q50"/>
    <hyperlink r:id="rId195" ref="R50"/>
    <hyperlink r:id="rId196" ref="U50"/>
    <hyperlink r:id="rId197" ref="V50"/>
    <hyperlink r:id="rId198" ref="Q51"/>
    <hyperlink r:id="rId199" ref="R51"/>
    <hyperlink r:id="rId200" ref="U51"/>
    <hyperlink r:id="rId201" ref="V51"/>
    <hyperlink r:id="rId202" ref="Q52"/>
    <hyperlink r:id="rId203" ref="R52"/>
    <hyperlink r:id="rId204" ref="U52"/>
    <hyperlink r:id="rId205" ref="V52"/>
    <hyperlink r:id="rId206" ref="Q53"/>
    <hyperlink r:id="rId207" ref="R53"/>
    <hyperlink r:id="rId208" ref="U53"/>
    <hyperlink r:id="rId209" ref="V53"/>
    <hyperlink r:id="rId210" ref="Q54"/>
    <hyperlink r:id="rId211" ref="R54"/>
    <hyperlink r:id="rId212" ref="U54"/>
    <hyperlink r:id="rId213" ref="V54"/>
    <hyperlink r:id="rId214" ref="Q55"/>
    <hyperlink r:id="rId215" ref="R55"/>
    <hyperlink r:id="rId216" ref="U55"/>
    <hyperlink r:id="rId217" ref="V55"/>
    <hyperlink r:id="rId218" ref="Q56"/>
    <hyperlink r:id="rId219" ref="R56"/>
    <hyperlink r:id="rId220" ref="U56"/>
    <hyperlink r:id="rId221" ref="V56"/>
    <hyperlink r:id="rId222" ref="Q57"/>
    <hyperlink r:id="rId223" ref="R57"/>
    <hyperlink r:id="rId224" ref="U57"/>
    <hyperlink r:id="rId225" ref="V57"/>
    <hyperlink r:id="rId226" ref="Q58"/>
    <hyperlink r:id="rId227" ref="R58"/>
    <hyperlink r:id="rId228" ref="U58"/>
    <hyperlink r:id="rId229" ref="V58"/>
    <hyperlink r:id="rId230" ref="Q59"/>
    <hyperlink r:id="rId231" ref="R59"/>
    <hyperlink r:id="rId232" ref="U59"/>
    <hyperlink r:id="rId233" ref="V59"/>
    <hyperlink r:id="rId234" ref="Q60"/>
    <hyperlink r:id="rId235" ref="R60"/>
    <hyperlink r:id="rId236" ref="U60"/>
    <hyperlink r:id="rId237" ref="V60"/>
    <hyperlink r:id="rId238" ref="Q61"/>
    <hyperlink r:id="rId239" ref="R61"/>
    <hyperlink r:id="rId240" ref="U61"/>
    <hyperlink r:id="rId241" ref="V61"/>
    <hyperlink r:id="rId242" ref="Q62"/>
    <hyperlink r:id="rId243" ref="R62"/>
    <hyperlink r:id="rId244" ref="U62"/>
    <hyperlink r:id="rId245" ref="V62"/>
    <hyperlink r:id="rId246" ref="Q63"/>
    <hyperlink r:id="rId247" ref="R63"/>
    <hyperlink r:id="rId248" ref="U63"/>
    <hyperlink r:id="rId249" ref="V63"/>
    <hyperlink r:id="rId250" ref="Q64"/>
    <hyperlink r:id="rId251" ref="R64"/>
    <hyperlink r:id="rId252" ref="U64"/>
    <hyperlink r:id="rId253" ref="V64"/>
    <hyperlink r:id="rId254" ref="Q65"/>
    <hyperlink r:id="rId255" ref="R65"/>
    <hyperlink r:id="rId256" ref="U65"/>
    <hyperlink r:id="rId257" ref="V65"/>
    <hyperlink r:id="rId258" ref="Q66"/>
    <hyperlink r:id="rId259" ref="R66"/>
    <hyperlink r:id="rId260" ref="U66"/>
    <hyperlink r:id="rId261" ref="V66"/>
    <hyperlink r:id="rId262" ref="Q67"/>
    <hyperlink r:id="rId263" ref="R67"/>
    <hyperlink r:id="rId264" ref="U67"/>
    <hyperlink r:id="rId265" ref="V67"/>
    <hyperlink r:id="rId266" ref="Q68"/>
    <hyperlink r:id="rId267" ref="R68"/>
    <hyperlink r:id="rId268" ref="U68"/>
    <hyperlink r:id="rId269" ref="V68"/>
    <hyperlink r:id="rId270" ref="Q69"/>
    <hyperlink r:id="rId271" ref="R69"/>
    <hyperlink r:id="rId272" ref="U69"/>
    <hyperlink r:id="rId273" ref="V69"/>
    <hyperlink r:id="rId274" ref="Q70"/>
    <hyperlink r:id="rId275" ref="R70"/>
    <hyperlink r:id="rId276" ref="U70"/>
    <hyperlink r:id="rId277" ref="V70"/>
    <hyperlink r:id="rId278" ref="Q71"/>
    <hyperlink r:id="rId279" ref="R71"/>
    <hyperlink r:id="rId280" ref="U71"/>
    <hyperlink r:id="rId281" ref="V71"/>
    <hyperlink r:id="rId282" ref="Q72"/>
    <hyperlink r:id="rId283" ref="R72"/>
    <hyperlink r:id="rId284" ref="U72"/>
    <hyperlink r:id="rId285" ref="V72"/>
    <hyperlink r:id="rId286" ref="Q73"/>
    <hyperlink r:id="rId287" ref="R73"/>
    <hyperlink r:id="rId288" ref="U73"/>
    <hyperlink r:id="rId289" ref="V73"/>
    <hyperlink r:id="rId290" ref="Q74"/>
    <hyperlink r:id="rId291" ref="R74"/>
    <hyperlink r:id="rId292" ref="U74"/>
    <hyperlink r:id="rId293" ref="V74"/>
    <hyperlink r:id="rId294" ref="Q75"/>
    <hyperlink r:id="rId295" ref="R75"/>
    <hyperlink r:id="rId296" ref="U75"/>
    <hyperlink r:id="rId297" ref="V75"/>
    <hyperlink r:id="rId298" ref="Q76"/>
    <hyperlink r:id="rId299" ref="R76"/>
    <hyperlink r:id="rId300" ref="U76"/>
    <hyperlink r:id="rId301" ref="V76"/>
    <hyperlink r:id="rId302" ref="Q77"/>
    <hyperlink r:id="rId303" ref="R77"/>
    <hyperlink r:id="rId304" ref="U77"/>
    <hyperlink r:id="rId305" ref="V77"/>
    <hyperlink r:id="rId306" ref="Q78"/>
    <hyperlink r:id="rId307" ref="R78"/>
    <hyperlink r:id="rId308" ref="U78"/>
    <hyperlink r:id="rId309" ref="V78"/>
    <hyperlink r:id="rId310" ref="Q79"/>
    <hyperlink r:id="rId311" ref="R79"/>
    <hyperlink r:id="rId312" ref="U79"/>
    <hyperlink r:id="rId313" ref="V79"/>
    <hyperlink r:id="rId314" ref="Q80"/>
    <hyperlink r:id="rId315" ref="R80"/>
    <hyperlink r:id="rId316" ref="U80"/>
    <hyperlink r:id="rId317" ref="V80"/>
    <hyperlink r:id="rId318" ref="Q81"/>
    <hyperlink r:id="rId319" ref="R81"/>
    <hyperlink r:id="rId320" ref="U81"/>
    <hyperlink r:id="rId321" ref="V81"/>
    <hyperlink r:id="rId322" ref="Q82"/>
    <hyperlink r:id="rId323" ref="R82"/>
    <hyperlink r:id="rId324" ref="U82"/>
    <hyperlink r:id="rId325" ref="V82"/>
    <hyperlink r:id="rId326" ref="Q83"/>
    <hyperlink r:id="rId327" ref="R83"/>
    <hyperlink r:id="rId328" ref="U83"/>
    <hyperlink r:id="rId329" ref="V83"/>
    <hyperlink r:id="rId330" ref="Q84"/>
    <hyperlink r:id="rId331" ref="R84"/>
    <hyperlink r:id="rId332" ref="U84"/>
    <hyperlink r:id="rId333" ref="V84"/>
    <hyperlink r:id="rId334" ref="Q85"/>
    <hyperlink r:id="rId335" ref="R85"/>
    <hyperlink r:id="rId336" ref="U85"/>
    <hyperlink r:id="rId337" ref="V85"/>
    <hyperlink r:id="rId338" ref="Q86"/>
    <hyperlink r:id="rId339" ref="R86"/>
    <hyperlink r:id="rId340" ref="U86"/>
    <hyperlink r:id="rId341" ref="V86"/>
    <hyperlink r:id="rId342" ref="Q87"/>
    <hyperlink r:id="rId343" ref="R87"/>
    <hyperlink r:id="rId344" ref="U87"/>
    <hyperlink r:id="rId345" ref="V87"/>
    <hyperlink r:id="rId346" ref="Q88"/>
    <hyperlink r:id="rId347" ref="R88"/>
    <hyperlink r:id="rId348" ref="U88"/>
    <hyperlink r:id="rId349" ref="V88"/>
    <hyperlink r:id="rId350" ref="Q89"/>
    <hyperlink r:id="rId351" ref="R89"/>
    <hyperlink r:id="rId352" ref="U89"/>
    <hyperlink r:id="rId353" ref="V89"/>
    <hyperlink r:id="rId354" ref="Q90"/>
    <hyperlink r:id="rId355" ref="R90"/>
    <hyperlink r:id="rId356" ref="U90"/>
    <hyperlink r:id="rId357" ref="V90"/>
    <hyperlink r:id="rId358" ref="Q91"/>
    <hyperlink r:id="rId359" ref="R91"/>
    <hyperlink r:id="rId360" ref="U91"/>
    <hyperlink r:id="rId361" ref="V91"/>
    <hyperlink r:id="rId362" ref="Q92"/>
    <hyperlink r:id="rId363" ref="R92"/>
    <hyperlink r:id="rId364" ref="U92"/>
    <hyperlink r:id="rId365" ref="V92"/>
    <hyperlink r:id="rId366" ref="Q93"/>
    <hyperlink r:id="rId367" ref="R93"/>
    <hyperlink r:id="rId368" ref="U93"/>
    <hyperlink r:id="rId369" ref="V93"/>
    <hyperlink r:id="rId370" ref="Q94"/>
    <hyperlink r:id="rId371" ref="R94"/>
    <hyperlink r:id="rId372" ref="U94"/>
    <hyperlink r:id="rId373" ref="V94"/>
    <hyperlink r:id="rId374" ref="Q95"/>
    <hyperlink r:id="rId375" ref="R95"/>
    <hyperlink r:id="rId376" ref="U95"/>
    <hyperlink r:id="rId377" ref="V95"/>
    <hyperlink r:id="rId378" ref="Q96"/>
    <hyperlink r:id="rId379" ref="R96"/>
    <hyperlink r:id="rId380" ref="U96"/>
    <hyperlink r:id="rId381" ref="V96"/>
    <hyperlink r:id="rId382" ref="Q97"/>
    <hyperlink r:id="rId383" ref="R97"/>
    <hyperlink r:id="rId384" ref="U97"/>
    <hyperlink r:id="rId385" ref="V97"/>
    <hyperlink r:id="rId386" ref="Q98"/>
    <hyperlink r:id="rId387" ref="R98"/>
    <hyperlink r:id="rId388" ref="U98"/>
    <hyperlink r:id="rId389" ref="V98"/>
    <hyperlink r:id="rId390" ref="Q99"/>
    <hyperlink r:id="rId391" ref="R99"/>
    <hyperlink r:id="rId392" ref="U99"/>
    <hyperlink r:id="rId393" ref="V99"/>
    <hyperlink r:id="rId394" ref="Q100"/>
    <hyperlink r:id="rId395" ref="R100"/>
    <hyperlink r:id="rId396" ref="U100"/>
    <hyperlink r:id="rId397" ref="V100"/>
    <hyperlink r:id="rId398" ref="Q101"/>
    <hyperlink r:id="rId399" ref="R101"/>
    <hyperlink r:id="rId400" ref="U101"/>
    <hyperlink r:id="rId401" ref="V101"/>
    <hyperlink r:id="rId402" ref="Q102"/>
    <hyperlink r:id="rId403" ref="R102"/>
    <hyperlink r:id="rId404" ref="U102"/>
    <hyperlink r:id="rId405" ref="V102"/>
    <hyperlink r:id="rId406" ref="Q103"/>
    <hyperlink r:id="rId407" ref="R103"/>
    <hyperlink r:id="rId408" ref="U103"/>
    <hyperlink r:id="rId409" ref="V103"/>
    <hyperlink r:id="rId410" ref="Q104"/>
    <hyperlink r:id="rId411" ref="R104"/>
    <hyperlink r:id="rId412" ref="U104"/>
    <hyperlink r:id="rId413" ref="V104"/>
    <hyperlink r:id="rId414" ref="Q105"/>
    <hyperlink r:id="rId415" ref="R105"/>
    <hyperlink r:id="rId416" ref="U105"/>
    <hyperlink r:id="rId417" ref="V105"/>
    <hyperlink r:id="rId418" ref="Q106"/>
    <hyperlink r:id="rId419" ref="R106"/>
    <hyperlink r:id="rId420" ref="U106"/>
    <hyperlink r:id="rId421" ref="V106"/>
    <hyperlink r:id="rId422" ref="Q107"/>
    <hyperlink r:id="rId423" ref="R107"/>
    <hyperlink r:id="rId424" ref="U107"/>
    <hyperlink r:id="rId425" ref="V107"/>
    <hyperlink r:id="rId426" ref="Q108"/>
    <hyperlink r:id="rId427" ref="R108"/>
    <hyperlink r:id="rId428" ref="U108"/>
    <hyperlink r:id="rId429" ref="V108"/>
    <hyperlink r:id="rId430" ref="Q109"/>
    <hyperlink r:id="rId431" ref="R109"/>
    <hyperlink r:id="rId432" ref="U109"/>
    <hyperlink r:id="rId433" ref="V109"/>
    <hyperlink r:id="rId434" ref="Q110"/>
    <hyperlink r:id="rId435" ref="R110"/>
    <hyperlink r:id="rId436" ref="U110"/>
    <hyperlink r:id="rId437" ref="V110"/>
    <hyperlink r:id="rId438" ref="Q111"/>
    <hyperlink r:id="rId439" ref="R111"/>
    <hyperlink r:id="rId440" ref="U111"/>
    <hyperlink r:id="rId441" ref="V111"/>
    <hyperlink r:id="rId442" ref="Q112"/>
    <hyperlink r:id="rId443" ref="R112"/>
    <hyperlink r:id="rId444" ref="U112"/>
    <hyperlink r:id="rId445" ref="V112"/>
    <hyperlink r:id="rId446" ref="Q113"/>
    <hyperlink r:id="rId447" ref="R113"/>
    <hyperlink r:id="rId448" ref="U113"/>
    <hyperlink r:id="rId449" ref="V113"/>
    <hyperlink r:id="rId450" ref="Q114"/>
    <hyperlink r:id="rId451" ref="R114"/>
    <hyperlink r:id="rId452" ref="U114"/>
    <hyperlink r:id="rId453" ref="V114"/>
    <hyperlink r:id="rId454" ref="Q115"/>
    <hyperlink r:id="rId455" ref="R115"/>
    <hyperlink r:id="rId456" ref="U115"/>
    <hyperlink r:id="rId457" ref="V115"/>
    <hyperlink r:id="rId458" ref="Q116"/>
    <hyperlink r:id="rId459" ref="R116"/>
    <hyperlink r:id="rId460" ref="U116"/>
    <hyperlink r:id="rId461" ref="V116"/>
    <hyperlink r:id="rId462" ref="Q117"/>
    <hyperlink r:id="rId463" ref="R117"/>
    <hyperlink r:id="rId464" ref="U117"/>
    <hyperlink r:id="rId465" ref="V117"/>
    <hyperlink r:id="rId466" ref="Q118"/>
    <hyperlink r:id="rId467" ref="R118"/>
    <hyperlink r:id="rId468" ref="U118"/>
    <hyperlink r:id="rId469" ref="V118"/>
    <hyperlink r:id="rId470" ref="Q119"/>
    <hyperlink r:id="rId471" ref="R119"/>
    <hyperlink r:id="rId472" ref="U119"/>
    <hyperlink r:id="rId473" ref="V119"/>
    <hyperlink r:id="rId474" ref="Q120"/>
    <hyperlink r:id="rId475" ref="R120"/>
    <hyperlink r:id="rId476" ref="U120"/>
    <hyperlink r:id="rId477" ref="V120"/>
    <hyperlink r:id="rId478" ref="Q121"/>
    <hyperlink r:id="rId479" ref="R121"/>
    <hyperlink r:id="rId480" ref="U121"/>
    <hyperlink r:id="rId481" ref="V121"/>
    <hyperlink r:id="rId482" ref="Q122"/>
    <hyperlink r:id="rId483" ref="R122"/>
    <hyperlink r:id="rId484" ref="U122"/>
    <hyperlink r:id="rId485" ref="V122"/>
    <hyperlink r:id="rId486" ref="Q123"/>
    <hyperlink r:id="rId487" ref="R123"/>
    <hyperlink r:id="rId488" ref="U123"/>
    <hyperlink r:id="rId489" ref="V123"/>
    <hyperlink r:id="rId490" ref="Q124"/>
    <hyperlink r:id="rId491" ref="R124"/>
    <hyperlink r:id="rId492" ref="U124"/>
    <hyperlink r:id="rId493" ref="V124"/>
    <hyperlink r:id="rId494" ref="Q125"/>
    <hyperlink r:id="rId495" ref="R125"/>
    <hyperlink r:id="rId496" ref="U125"/>
    <hyperlink r:id="rId497" ref="V125"/>
    <hyperlink r:id="rId498" ref="Q126"/>
    <hyperlink r:id="rId499" ref="R126"/>
    <hyperlink r:id="rId500" ref="U126"/>
    <hyperlink r:id="rId501" ref="V126"/>
    <hyperlink r:id="rId502" ref="Q127"/>
    <hyperlink r:id="rId503" ref="R127"/>
    <hyperlink r:id="rId504" ref="U127"/>
    <hyperlink r:id="rId505" ref="V127"/>
    <hyperlink r:id="rId506" ref="Q128"/>
    <hyperlink r:id="rId507" ref="R128"/>
    <hyperlink r:id="rId508" ref="U128"/>
    <hyperlink r:id="rId509" ref="V128"/>
    <hyperlink r:id="rId510" ref="Q129"/>
    <hyperlink r:id="rId511" ref="R129"/>
    <hyperlink r:id="rId512" ref="U129"/>
    <hyperlink r:id="rId513" ref="V129"/>
    <hyperlink r:id="rId514" ref="Q130"/>
    <hyperlink r:id="rId515" ref="R130"/>
    <hyperlink r:id="rId516" ref="U130"/>
    <hyperlink r:id="rId517" ref="V130"/>
    <hyperlink r:id="rId518" ref="Q131"/>
    <hyperlink r:id="rId519" ref="R131"/>
    <hyperlink r:id="rId520" ref="U131"/>
    <hyperlink r:id="rId521" ref="V131"/>
    <hyperlink r:id="rId522" ref="Q132"/>
    <hyperlink r:id="rId523" ref="R132"/>
    <hyperlink r:id="rId524" ref="U132"/>
    <hyperlink r:id="rId525" ref="V132"/>
    <hyperlink r:id="rId526" ref="Q133"/>
    <hyperlink r:id="rId527" ref="R133"/>
    <hyperlink r:id="rId528" ref="U133"/>
    <hyperlink r:id="rId529" ref="V133"/>
    <hyperlink r:id="rId530" ref="Q134"/>
    <hyperlink r:id="rId531" ref="R134"/>
    <hyperlink r:id="rId532" ref="U134"/>
    <hyperlink r:id="rId533" ref="V134"/>
    <hyperlink r:id="rId534" ref="Q135"/>
    <hyperlink r:id="rId535" ref="R135"/>
    <hyperlink r:id="rId536" ref="U135"/>
    <hyperlink r:id="rId537" ref="V135"/>
    <hyperlink r:id="rId538" ref="Q136"/>
    <hyperlink r:id="rId539" ref="R136"/>
    <hyperlink r:id="rId540" ref="U136"/>
    <hyperlink r:id="rId541" ref="V136"/>
    <hyperlink r:id="rId542" ref="Q137"/>
    <hyperlink r:id="rId543" ref="R137"/>
    <hyperlink r:id="rId544" ref="U137"/>
    <hyperlink r:id="rId545" ref="V137"/>
    <hyperlink r:id="rId546" ref="Q138"/>
    <hyperlink r:id="rId547" ref="R138"/>
    <hyperlink r:id="rId548" ref="U138"/>
    <hyperlink r:id="rId549" ref="V138"/>
    <hyperlink r:id="rId550" ref="Q139"/>
    <hyperlink r:id="rId551" ref="R139"/>
    <hyperlink r:id="rId552" ref="U139"/>
    <hyperlink r:id="rId553" ref="V139"/>
    <hyperlink r:id="rId554" ref="Q140"/>
    <hyperlink r:id="rId555" ref="R140"/>
    <hyperlink r:id="rId556" ref="U140"/>
    <hyperlink r:id="rId557" ref="V140"/>
    <hyperlink r:id="rId558" ref="Q141"/>
    <hyperlink r:id="rId559" ref="R141"/>
    <hyperlink r:id="rId560" ref="U141"/>
    <hyperlink r:id="rId561" ref="V141"/>
    <hyperlink r:id="rId562" ref="Q142"/>
    <hyperlink r:id="rId563" ref="R142"/>
    <hyperlink r:id="rId564" ref="U142"/>
    <hyperlink r:id="rId565" ref="V142"/>
    <hyperlink r:id="rId566" ref="Q143"/>
    <hyperlink r:id="rId567" ref="R143"/>
    <hyperlink r:id="rId568" ref="U143"/>
    <hyperlink r:id="rId569" ref="V143"/>
    <hyperlink r:id="rId570" ref="Q144"/>
    <hyperlink r:id="rId571" ref="R144"/>
    <hyperlink r:id="rId572" ref="U144"/>
    <hyperlink r:id="rId573" ref="V144"/>
    <hyperlink r:id="rId574" ref="Q145"/>
    <hyperlink r:id="rId575" ref="R145"/>
    <hyperlink r:id="rId576" ref="U145"/>
    <hyperlink r:id="rId577" ref="V145"/>
    <hyperlink r:id="rId578" ref="Q146"/>
    <hyperlink r:id="rId579" ref="R146"/>
    <hyperlink r:id="rId580" ref="U146"/>
    <hyperlink r:id="rId581" ref="V146"/>
    <hyperlink r:id="rId582" ref="Q147"/>
    <hyperlink r:id="rId583" ref="R147"/>
    <hyperlink r:id="rId584" ref="U147"/>
    <hyperlink r:id="rId585" ref="V147"/>
    <hyperlink r:id="rId586" ref="Q148"/>
    <hyperlink r:id="rId587" ref="R148"/>
    <hyperlink r:id="rId588" ref="U148"/>
    <hyperlink r:id="rId589" ref="V148"/>
    <hyperlink r:id="rId590" ref="Q149"/>
    <hyperlink r:id="rId591" ref="R149"/>
    <hyperlink r:id="rId592" ref="U149"/>
    <hyperlink r:id="rId593" ref="V149"/>
    <hyperlink r:id="rId594" ref="Q150"/>
    <hyperlink r:id="rId595" ref="R150"/>
    <hyperlink r:id="rId596" ref="U150"/>
    <hyperlink r:id="rId597" ref="V150"/>
    <hyperlink r:id="rId598" ref="Q151"/>
    <hyperlink r:id="rId599" ref="R151"/>
    <hyperlink r:id="rId600" ref="U151"/>
    <hyperlink r:id="rId601" ref="V151"/>
    <hyperlink r:id="rId602" ref="Q152"/>
    <hyperlink r:id="rId603" ref="R152"/>
    <hyperlink r:id="rId604" ref="U152"/>
    <hyperlink r:id="rId605" ref="V152"/>
    <hyperlink r:id="rId606" ref="Q153"/>
    <hyperlink r:id="rId607" ref="R153"/>
    <hyperlink r:id="rId608" ref="U153"/>
    <hyperlink r:id="rId609" ref="V153"/>
    <hyperlink r:id="rId610" ref="Q154"/>
    <hyperlink r:id="rId611" ref="R154"/>
    <hyperlink r:id="rId612" ref="U154"/>
    <hyperlink r:id="rId613" ref="V154"/>
    <hyperlink r:id="rId614" ref="Q155"/>
    <hyperlink r:id="rId615" ref="R155"/>
    <hyperlink r:id="rId616" ref="U155"/>
    <hyperlink r:id="rId617" ref="V155"/>
    <hyperlink r:id="rId618" ref="Q156"/>
    <hyperlink r:id="rId619" ref="R156"/>
    <hyperlink r:id="rId620" ref="U156"/>
    <hyperlink r:id="rId621" ref="V156"/>
    <hyperlink r:id="rId622" ref="Q157"/>
    <hyperlink r:id="rId623" ref="R157"/>
    <hyperlink r:id="rId624" ref="U157"/>
    <hyperlink r:id="rId625" ref="V157"/>
    <hyperlink r:id="rId626" ref="Q158"/>
    <hyperlink r:id="rId627" ref="R158"/>
    <hyperlink r:id="rId628" ref="U158"/>
    <hyperlink r:id="rId629" ref="V158"/>
    <hyperlink r:id="rId630" ref="Q159"/>
    <hyperlink r:id="rId631" ref="R159"/>
    <hyperlink r:id="rId632" ref="U159"/>
    <hyperlink r:id="rId633" ref="V159"/>
    <hyperlink r:id="rId634" ref="Q160"/>
    <hyperlink r:id="rId635" ref="R160"/>
    <hyperlink r:id="rId636" ref="U160"/>
    <hyperlink r:id="rId637" ref="V160"/>
    <hyperlink r:id="rId638" ref="Q161"/>
    <hyperlink r:id="rId639" ref="R161"/>
    <hyperlink r:id="rId640" ref="U161"/>
    <hyperlink r:id="rId641" ref="V161"/>
    <hyperlink r:id="rId642" ref="Q162"/>
    <hyperlink r:id="rId643" ref="R162"/>
    <hyperlink r:id="rId644" ref="U162"/>
    <hyperlink r:id="rId645" ref="V162"/>
    <hyperlink r:id="rId646" ref="Q163"/>
    <hyperlink r:id="rId647" ref="R163"/>
    <hyperlink r:id="rId648" ref="U163"/>
    <hyperlink r:id="rId649" ref="V163"/>
    <hyperlink r:id="rId650" ref="Q164"/>
    <hyperlink r:id="rId651" ref="R164"/>
    <hyperlink r:id="rId652" ref="U164"/>
    <hyperlink r:id="rId653" ref="V164"/>
    <hyperlink r:id="rId654" ref="Q165"/>
    <hyperlink r:id="rId655" ref="R165"/>
    <hyperlink r:id="rId656" ref="U165"/>
    <hyperlink r:id="rId657" ref="V165"/>
    <hyperlink r:id="rId658" ref="Q166"/>
    <hyperlink r:id="rId659" ref="R166"/>
    <hyperlink r:id="rId660" ref="U166"/>
    <hyperlink r:id="rId661" ref="V166"/>
    <hyperlink r:id="rId662" ref="Q167"/>
    <hyperlink r:id="rId663" ref="R167"/>
    <hyperlink r:id="rId664" ref="U167"/>
    <hyperlink r:id="rId665" ref="V167"/>
    <hyperlink r:id="rId666" ref="Q168"/>
    <hyperlink r:id="rId667" ref="R168"/>
    <hyperlink r:id="rId668" ref="U168"/>
    <hyperlink r:id="rId669" ref="V168"/>
    <hyperlink r:id="rId670" ref="Q169"/>
    <hyperlink r:id="rId671" ref="R169"/>
    <hyperlink r:id="rId672" ref="U169"/>
    <hyperlink r:id="rId673" ref="V169"/>
    <hyperlink r:id="rId674" ref="Q170"/>
    <hyperlink r:id="rId675" ref="R170"/>
    <hyperlink r:id="rId676" ref="U170"/>
    <hyperlink r:id="rId677" ref="V170"/>
    <hyperlink r:id="rId678" ref="Q171"/>
    <hyperlink r:id="rId679" ref="R171"/>
    <hyperlink r:id="rId680" ref="U171"/>
    <hyperlink r:id="rId681" ref="V171"/>
    <hyperlink r:id="rId682" ref="Q172"/>
    <hyperlink r:id="rId683" ref="R172"/>
    <hyperlink r:id="rId684" ref="U172"/>
    <hyperlink r:id="rId685" ref="V172"/>
    <hyperlink r:id="rId686" ref="Q173"/>
    <hyperlink r:id="rId687" ref="R173"/>
    <hyperlink r:id="rId688" ref="U173"/>
    <hyperlink r:id="rId689" ref="V173"/>
    <hyperlink r:id="rId690" ref="Q174"/>
    <hyperlink r:id="rId691" ref="R174"/>
    <hyperlink r:id="rId692" ref="U174"/>
    <hyperlink r:id="rId693" ref="V174"/>
    <hyperlink r:id="rId694" ref="Q175"/>
    <hyperlink r:id="rId695" ref="R175"/>
    <hyperlink r:id="rId696" ref="U175"/>
    <hyperlink r:id="rId697" ref="V175"/>
    <hyperlink r:id="rId698" ref="Q176"/>
    <hyperlink r:id="rId699" ref="R176"/>
    <hyperlink r:id="rId700" ref="U176"/>
    <hyperlink r:id="rId701" ref="V176"/>
    <hyperlink r:id="rId702" ref="Q177"/>
    <hyperlink r:id="rId703" ref="R177"/>
    <hyperlink r:id="rId704" ref="U177"/>
    <hyperlink r:id="rId705" ref="V177"/>
    <hyperlink r:id="rId706" ref="Q178"/>
    <hyperlink r:id="rId707" ref="R178"/>
    <hyperlink r:id="rId708" ref="U178"/>
    <hyperlink r:id="rId709" ref="V178"/>
    <hyperlink r:id="rId710" ref="Q179"/>
    <hyperlink r:id="rId711" ref="R179"/>
    <hyperlink r:id="rId712" ref="U179"/>
    <hyperlink r:id="rId713" ref="V179"/>
    <hyperlink r:id="rId714" ref="Q180"/>
    <hyperlink r:id="rId715" ref="R180"/>
    <hyperlink r:id="rId716" ref="U180"/>
    <hyperlink r:id="rId717" ref="V180"/>
    <hyperlink r:id="rId718" ref="Q181"/>
    <hyperlink r:id="rId719" ref="R181"/>
    <hyperlink r:id="rId720" ref="U181"/>
    <hyperlink r:id="rId721" ref="V181"/>
    <hyperlink r:id="rId722" ref="Q182"/>
    <hyperlink r:id="rId723" ref="R182"/>
    <hyperlink r:id="rId724" ref="U182"/>
    <hyperlink r:id="rId725" ref="V182"/>
    <hyperlink r:id="rId726" ref="Q183"/>
    <hyperlink r:id="rId727" ref="R183"/>
    <hyperlink r:id="rId728" ref="U183"/>
    <hyperlink r:id="rId729" ref="V183"/>
    <hyperlink r:id="rId730" ref="Q184"/>
    <hyperlink r:id="rId731" ref="R184"/>
    <hyperlink r:id="rId732" ref="U184"/>
    <hyperlink r:id="rId733" ref="V184"/>
    <hyperlink r:id="rId734" ref="Q185"/>
    <hyperlink r:id="rId735" ref="R185"/>
    <hyperlink r:id="rId736" ref="U185"/>
    <hyperlink r:id="rId737" ref="V185"/>
    <hyperlink r:id="rId738" ref="Q186"/>
    <hyperlink r:id="rId739" ref="R186"/>
    <hyperlink r:id="rId740" ref="U186"/>
    <hyperlink r:id="rId741" ref="V186"/>
    <hyperlink r:id="rId742" ref="Q187"/>
    <hyperlink r:id="rId743" ref="R187"/>
    <hyperlink r:id="rId744" ref="U187"/>
    <hyperlink r:id="rId745" ref="V187"/>
    <hyperlink r:id="rId746" ref="Q188"/>
    <hyperlink r:id="rId747" ref="R188"/>
    <hyperlink r:id="rId748" ref="U188"/>
    <hyperlink r:id="rId749" ref="V188"/>
    <hyperlink r:id="rId750" ref="Q189"/>
    <hyperlink r:id="rId751" ref="R189"/>
    <hyperlink r:id="rId752" ref="U189"/>
    <hyperlink r:id="rId753" ref="V189"/>
    <hyperlink r:id="rId754" ref="Q190"/>
    <hyperlink r:id="rId755" ref="R190"/>
    <hyperlink r:id="rId756" ref="U190"/>
    <hyperlink r:id="rId757" ref="V190"/>
    <hyperlink r:id="rId758" ref="Q191"/>
    <hyperlink r:id="rId759" ref="R191"/>
    <hyperlink r:id="rId760" ref="U191"/>
    <hyperlink r:id="rId761" ref="V191"/>
    <hyperlink r:id="rId762" ref="Q192"/>
    <hyperlink r:id="rId763" ref="R192"/>
    <hyperlink r:id="rId764" ref="U192"/>
    <hyperlink r:id="rId765" ref="V192"/>
    <hyperlink r:id="rId766" ref="Q193"/>
    <hyperlink r:id="rId767" ref="R193"/>
    <hyperlink r:id="rId768" ref="U193"/>
    <hyperlink r:id="rId769" ref="V193"/>
    <hyperlink r:id="rId770" ref="Q194"/>
    <hyperlink r:id="rId771" ref="R194"/>
    <hyperlink r:id="rId772" ref="U194"/>
    <hyperlink r:id="rId773" ref="V194"/>
    <hyperlink r:id="rId774" ref="Q195"/>
    <hyperlink r:id="rId775" ref="R195"/>
    <hyperlink r:id="rId776" ref="U195"/>
    <hyperlink r:id="rId777" ref="V195"/>
    <hyperlink r:id="rId778" ref="Q196"/>
    <hyperlink r:id="rId779" ref="R196"/>
    <hyperlink r:id="rId780" ref="U196"/>
    <hyperlink r:id="rId781" ref="V196"/>
    <hyperlink r:id="rId782" ref="Q197"/>
    <hyperlink r:id="rId783" ref="R197"/>
    <hyperlink r:id="rId784" ref="U197"/>
    <hyperlink r:id="rId785" ref="V197"/>
    <hyperlink r:id="rId786" ref="Q198"/>
    <hyperlink r:id="rId787" ref="R198"/>
    <hyperlink r:id="rId788" ref="U198"/>
    <hyperlink r:id="rId789" ref="V198"/>
    <hyperlink r:id="rId790" ref="Q199"/>
    <hyperlink r:id="rId791" ref="R199"/>
    <hyperlink r:id="rId792" ref="U199"/>
    <hyperlink r:id="rId793" ref="V199"/>
    <hyperlink r:id="rId794" ref="Q200"/>
    <hyperlink r:id="rId795" ref="R200"/>
    <hyperlink r:id="rId796" ref="U200"/>
    <hyperlink r:id="rId797" ref="V200"/>
    <hyperlink r:id="rId798" ref="Q201"/>
    <hyperlink r:id="rId799" ref="R201"/>
    <hyperlink r:id="rId800" ref="U201"/>
    <hyperlink r:id="rId801" ref="V201"/>
    <hyperlink r:id="rId802" ref="Q202"/>
    <hyperlink r:id="rId803" ref="R202"/>
    <hyperlink r:id="rId804" ref="U202"/>
    <hyperlink r:id="rId805" ref="V202"/>
    <hyperlink r:id="rId806" ref="Q203"/>
    <hyperlink r:id="rId807" ref="R203"/>
    <hyperlink r:id="rId808" ref="U203"/>
    <hyperlink r:id="rId809" ref="V203"/>
    <hyperlink r:id="rId810" ref="Q204"/>
    <hyperlink r:id="rId811" ref="R204"/>
    <hyperlink r:id="rId812" ref="U204"/>
    <hyperlink r:id="rId813" ref="V204"/>
    <hyperlink r:id="rId814" ref="Q205"/>
    <hyperlink r:id="rId815" ref="R205"/>
    <hyperlink r:id="rId816" ref="U205"/>
    <hyperlink r:id="rId817" ref="V205"/>
    <hyperlink r:id="rId818" ref="Q206"/>
    <hyperlink r:id="rId819" ref="R206"/>
    <hyperlink r:id="rId820" ref="U206"/>
    <hyperlink r:id="rId821" ref="V206"/>
    <hyperlink r:id="rId822" ref="Q207"/>
    <hyperlink r:id="rId823" ref="R207"/>
    <hyperlink r:id="rId824" ref="U207"/>
    <hyperlink r:id="rId825" ref="V207"/>
    <hyperlink r:id="rId826" ref="Q208"/>
    <hyperlink r:id="rId827" ref="R208"/>
    <hyperlink r:id="rId828" ref="U208"/>
    <hyperlink r:id="rId829" ref="V208"/>
    <hyperlink r:id="rId830" ref="Q209"/>
    <hyperlink r:id="rId831" ref="R209"/>
    <hyperlink r:id="rId832" ref="U209"/>
    <hyperlink r:id="rId833" ref="V209"/>
    <hyperlink r:id="rId834" ref="Q210"/>
    <hyperlink r:id="rId835" ref="R210"/>
    <hyperlink r:id="rId836" ref="U210"/>
    <hyperlink r:id="rId837" ref="V210"/>
    <hyperlink r:id="rId838" ref="Q211"/>
    <hyperlink r:id="rId839" ref="R211"/>
    <hyperlink r:id="rId840" ref="U211"/>
    <hyperlink r:id="rId841" ref="V211"/>
    <hyperlink r:id="rId842" ref="Q212"/>
    <hyperlink r:id="rId843" ref="R212"/>
    <hyperlink r:id="rId844" ref="U212"/>
    <hyperlink r:id="rId845" ref="V212"/>
    <hyperlink r:id="rId846" ref="Q213"/>
    <hyperlink r:id="rId847" ref="R213"/>
    <hyperlink r:id="rId848" ref="U213"/>
    <hyperlink r:id="rId849" ref="V213"/>
    <hyperlink r:id="rId850" ref="Q214"/>
    <hyperlink r:id="rId851" ref="R214"/>
    <hyperlink r:id="rId852" ref="U214"/>
    <hyperlink r:id="rId853" ref="V214"/>
    <hyperlink r:id="rId854" ref="Q215"/>
    <hyperlink r:id="rId855" ref="R215"/>
    <hyperlink r:id="rId856" ref="U215"/>
    <hyperlink r:id="rId857" ref="V215"/>
    <hyperlink r:id="rId858" ref="Q216"/>
    <hyperlink r:id="rId859" ref="R216"/>
    <hyperlink r:id="rId860" ref="U216"/>
    <hyperlink r:id="rId861" ref="V216"/>
    <hyperlink r:id="rId862" ref="Q217"/>
    <hyperlink r:id="rId863" ref="R217"/>
    <hyperlink r:id="rId864" ref="U217"/>
    <hyperlink r:id="rId865" ref="V217"/>
    <hyperlink r:id="rId866" ref="Q218"/>
    <hyperlink r:id="rId867" ref="R218"/>
    <hyperlink r:id="rId868" ref="U218"/>
    <hyperlink r:id="rId869" ref="V218"/>
    <hyperlink r:id="rId870" ref="Q219"/>
    <hyperlink r:id="rId871" ref="R219"/>
    <hyperlink r:id="rId872" ref="U219"/>
    <hyperlink r:id="rId873" ref="V219"/>
    <hyperlink r:id="rId874" ref="Q220"/>
    <hyperlink r:id="rId875" ref="R220"/>
    <hyperlink r:id="rId876" ref="U220"/>
    <hyperlink r:id="rId877" ref="V220"/>
    <hyperlink r:id="rId878" ref="Q221"/>
    <hyperlink r:id="rId879" ref="R221"/>
    <hyperlink r:id="rId880" ref="U221"/>
    <hyperlink r:id="rId881" ref="V221"/>
    <hyperlink r:id="rId882" ref="Q222"/>
    <hyperlink r:id="rId883" ref="R222"/>
    <hyperlink r:id="rId884" ref="U222"/>
    <hyperlink r:id="rId885" ref="V222"/>
    <hyperlink r:id="rId886" ref="Q223"/>
    <hyperlink r:id="rId887" ref="R223"/>
    <hyperlink r:id="rId888" ref="U223"/>
    <hyperlink r:id="rId889" ref="V223"/>
    <hyperlink r:id="rId890" ref="Q224"/>
    <hyperlink r:id="rId891" ref="R224"/>
    <hyperlink r:id="rId892" ref="U224"/>
    <hyperlink r:id="rId893" ref="V224"/>
    <hyperlink r:id="rId894" ref="Q225"/>
    <hyperlink r:id="rId895" ref="R225"/>
    <hyperlink r:id="rId896" ref="U225"/>
    <hyperlink r:id="rId897" ref="V225"/>
    <hyperlink r:id="rId898" ref="Q226"/>
    <hyperlink r:id="rId899" ref="R226"/>
    <hyperlink r:id="rId900" ref="U226"/>
    <hyperlink r:id="rId901" ref="V226"/>
    <hyperlink r:id="rId902" ref="Q227"/>
    <hyperlink r:id="rId903" ref="R227"/>
    <hyperlink r:id="rId904" ref="U227"/>
    <hyperlink r:id="rId905" ref="V227"/>
    <hyperlink r:id="rId906" ref="Q228"/>
    <hyperlink r:id="rId907" ref="R228"/>
    <hyperlink r:id="rId908" ref="U228"/>
    <hyperlink r:id="rId909" ref="V228"/>
    <hyperlink r:id="rId910" ref="Q229"/>
    <hyperlink r:id="rId911" ref="R229"/>
    <hyperlink r:id="rId912" ref="U229"/>
    <hyperlink r:id="rId913" ref="V229"/>
    <hyperlink r:id="rId914" ref="Q230"/>
    <hyperlink r:id="rId915" ref="R230"/>
    <hyperlink r:id="rId916" ref="U230"/>
    <hyperlink r:id="rId917" ref="V230"/>
    <hyperlink r:id="rId918" ref="Q231"/>
    <hyperlink r:id="rId919" ref="R231"/>
    <hyperlink r:id="rId920" ref="U231"/>
    <hyperlink r:id="rId921" ref="V231"/>
    <hyperlink r:id="rId922" ref="Q232"/>
    <hyperlink r:id="rId923" ref="R232"/>
    <hyperlink r:id="rId924" ref="U232"/>
    <hyperlink r:id="rId925" ref="V232"/>
    <hyperlink r:id="rId926" ref="Q233"/>
    <hyperlink r:id="rId927" ref="R233"/>
    <hyperlink r:id="rId928" ref="U233"/>
    <hyperlink r:id="rId929" ref="V233"/>
    <hyperlink r:id="rId930" ref="Q234"/>
    <hyperlink r:id="rId931" ref="R234"/>
    <hyperlink r:id="rId932" ref="U234"/>
    <hyperlink r:id="rId933" ref="V234"/>
    <hyperlink r:id="rId934" ref="Q235"/>
    <hyperlink r:id="rId935" ref="R235"/>
    <hyperlink r:id="rId936" ref="U235"/>
    <hyperlink r:id="rId937" ref="V235"/>
    <hyperlink r:id="rId938" ref="Q236"/>
    <hyperlink r:id="rId939" ref="R236"/>
    <hyperlink r:id="rId940" ref="U236"/>
    <hyperlink r:id="rId941" ref="V236"/>
    <hyperlink r:id="rId942" ref="Q237"/>
    <hyperlink r:id="rId943" ref="R237"/>
    <hyperlink r:id="rId944" ref="U237"/>
    <hyperlink r:id="rId945" ref="V237"/>
    <hyperlink r:id="rId946" ref="Q238"/>
    <hyperlink r:id="rId947" ref="R238"/>
    <hyperlink r:id="rId948" ref="U238"/>
    <hyperlink r:id="rId949" ref="V238"/>
    <hyperlink r:id="rId950" ref="Q239"/>
    <hyperlink r:id="rId951" ref="R239"/>
    <hyperlink r:id="rId952" ref="U239"/>
    <hyperlink r:id="rId953" ref="V239"/>
    <hyperlink r:id="rId954" ref="Q240"/>
    <hyperlink r:id="rId955" ref="R240"/>
    <hyperlink r:id="rId956" ref="U240"/>
    <hyperlink r:id="rId957" ref="V240"/>
    <hyperlink r:id="rId958" ref="Q241"/>
    <hyperlink r:id="rId959" ref="R241"/>
    <hyperlink r:id="rId960" ref="U241"/>
    <hyperlink r:id="rId961" ref="V241"/>
    <hyperlink r:id="rId962" ref="Q242"/>
    <hyperlink r:id="rId963" ref="R242"/>
    <hyperlink r:id="rId964" ref="U242"/>
    <hyperlink r:id="rId965" ref="V242"/>
  </hyperlinks>
  <drawing r:id="rId966"/>
  <legacyDrawing r:id="rId967"/>
</worksheet>
</file>